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sd.local\webdata$\WebSites\STAGE\Internet\sd_gov\dss\docs\financeoffice\workgroups\mental_health\12.10.19\"/>
    </mc:Choice>
  </mc:AlternateContent>
  <xr:revisionPtr revIDLastSave="0" documentId="8_{8B80DD5D-5FB5-4AD8-888C-B2E837313829}" xr6:coauthVersionLast="47" xr6:coauthVersionMax="47" xr10:uidLastSave="{00000000-0000-0000-0000-000000000000}"/>
  <bookViews>
    <workbookView xWindow="-108" yWindow="-108" windowWidth="23256" windowHeight="12576" tabRatio="888" activeTab="7" xr2:uid="{1085C0BA-44B3-40B9-930C-5F0A6560FE56}"/>
  </bookViews>
  <sheets>
    <sheet name="Psych CNP Full Time Nurse" sheetId="2" r:id="rId1"/>
    <sheet name="Psychiatric" sheetId="3" r:id="rId2"/>
    <sheet name="CARE Model" sheetId="4" r:id="rId3"/>
    <sheet name="CARE Support" sheetId="5" r:id="rId4"/>
    <sheet name="Impact Model" sheetId="6" r:id="rId5"/>
    <sheet name="IMPACTSupport" sheetId="7" r:id="rId6"/>
    <sheet name="R&amp;B Model" sheetId="8" r:id="rId7"/>
    <sheet name="R&amp;B - Low Intensity" sheetId="14" r:id="rId8"/>
    <sheet name="Room and Board Support" sheetId="9" r:id="rId9"/>
    <sheet name="CYF Individual Model" sheetId="10" r:id="rId10"/>
    <sheet name="CYF Individual Support" sheetId="11" r:id="rId11"/>
    <sheet name="CYF Group Model" sheetId="12" r:id="rId12"/>
    <sheet name="CYF Group" sheetId="13" r:id="rId13"/>
  </sheets>
  <externalReferences>
    <externalReference r:id="rId14"/>
  </externalReferences>
  <definedNames>
    <definedName name="ADA">'[1]Service List'!$D$1:$D$22</definedName>
    <definedName name="_xlnm.Print_Area" localSheetId="2">'CARE Model'!$O$1:$U$34</definedName>
    <definedName name="_xlnm.Print_Area" localSheetId="3">'CARE Support'!$A$1:$U$40</definedName>
    <definedName name="_xlnm.Print_Area" localSheetId="12">'CYF Group'!$A$1:$I$40</definedName>
    <definedName name="_xlnm.Print_Area" localSheetId="11">'CYF Group Model'!$A$1:$K$29</definedName>
    <definedName name="_xlnm.Print_Area" localSheetId="9">'CYF Individual Model'!$A$1:$K$29</definedName>
    <definedName name="_xlnm.Print_Area" localSheetId="10">'CYF Individual Support'!$A$1:$O$40</definedName>
    <definedName name="_xlnm.Print_Area" localSheetId="4">'Impact Model'!$A$1:$L$31</definedName>
    <definedName name="_xlnm.Print_Area" localSheetId="5">IMPACTSupport!$A$1:$K$38</definedName>
    <definedName name="_xlnm.Print_Area" localSheetId="1">Psychiatric!$A$1:$U$38</definedName>
    <definedName name="_xlnm.Print_Area" localSheetId="7">'R&amp;B - Low Intensity'!$A$2:$C$37</definedName>
    <definedName name="_xlnm.Print_Area" localSheetId="8">'Room and Board Support'!$A$1:$Q$75</definedName>
    <definedName name="_xlnm.Print_Titles" localSheetId="3">'CARE Support'!$A:$B</definedName>
    <definedName name="_xlnm.Print_Titles" localSheetId="12">'CYF Group'!$A:$B</definedName>
    <definedName name="_xlnm.Print_Titles" localSheetId="10">'CYF Individual Support'!$A:$B</definedName>
    <definedName name="_xlnm.Print_Titles" localSheetId="5">IMPACTSupport!$A:$B</definedName>
    <definedName name="_xlnm.Print_Titles" localSheetId="1">Psychiatric!$A:$B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3" l="1"/>
  <c r="D44" i="13"/>
  <c r="F40" i="13"/>
  <c r="E40" i="13"/>
  <c r="D40" i="13"/>
  <c r="C40" i="13"/>
  <c r="H39" i="13"/>
  <c r="G39" i="13"/>
  <c r="H38" i="13"/>
  <c r="G38" i="13"/>
  <c r="H36" i="13"/>
  <c r="H35" i="13"/>
  <c r="H12" i="13"/>
  <c r="G12" i="13"/>
  <c r="H9" i="13"/>
  <c r="G9" i="13"/>
  <c r="F8" i="13"/>
  <c r="F10" i="13" s="1"/>
  <c r="E8" i="13"/>
  <c r="E10" i="13" s="1"/>
  <c r="D8" i="13"/>
  <c r="D10" i="13" s="1"/>
  <c r="C8" i="13"/>
  <c r="C10" i="13" s="1"/>
  <c r="H7" i="13"/>
  <c r="G7" i="13"/>
  <c r="H6" i="13"/>
  <c r="G6" i="13"/>
  <c r="J22" i="12"/>
  <c r="D22" i="12"/>
  <c r="I10" i="12"/>
  <c r="I12" i="12" s="1"/>
  <c r="I15" i="12" s="1"/>
  <c r="C10" i="12"/>
  <c r="C12" i="12" s="1"/>
  <c r="C15" i="12" s="1"/>
  <c r="G43" i="11"/>
  <c r="F44" i="11" s="1"/>
  <c r="F43" i="11"/>
  <c r="K40" i="11"/>
  <c r="E40" i="11"/>
  <c r="C40" i="11"/>
  <c r="G39" i="11"/>
  <c r="N39" i="11" s="1"/>
  <c r="M38" i="11"/>
  <c r="M40" i="11" s="1"/>
  <c r="L38" i="11"/>
  <c r="L40" i="11" s="1"/>
  <c r="K38" i="11"/>
  <c r="J38" i="11"/>
  <c r="J40" i="11" s="1"/>
  <c r="I38" i="11"/>
  <c r="I40" i="11" s="1"/>
  <c r="H38" i="11"/>
  <c r="H40" i="11" s="1"/>
  <c r="G38" i="11"/>
  <c r="F38" i="11"/>
  <c r="O38" i="11" s="1"/>
  <c r="E38" i="11"/>
  <c r="D38" i="11"/>
  <c r="D40" i="11" s="1"/>
  <c r="C38" i="11"/>
  <c r="O36" i="11"/>
  <c r="O35" i="11"/>
  <c r="O12" i="11"/>
  <c r="N12" i="11"/>
  <c r="L10" i="11"/>
  <c r="L17" i="11" s="1"/>
  <c r="F10" i="11"/>
  <c r="F17" i="11" s="1"/>
  <c r="O9" i="11"/>
  <c r="N9" i="11"/>
  <c r="M8" i="11"/>
  <c r="M10" i="11" s="1"/>
  <c r="L8" i="11"/>
  <c r="K8" i="11"/>
  <c r="K10" i="11" s="1"/>
  <c r="J8" i="11"/>
  <c r="J10" i="11" s="1"/>
  <c r="I8" i="11"/>
  <c r="I10" i="11" s="1"/>
  <c r="H8" i="11"/>
  <c r="H10" i="11" s="1"/>
  <c r="H11" i="11" s="1"/>
  <c r="G8" i="11"/>
  <c r="G10" i="11" s="1"/>
  <c r="F8" i="11"/>
  <c r="E8" i="11"/>
  <c r="E10" i="11" s="1"/>
  <c r="D8" i="11"/>
  <c r="D10" i="11" s="1"/>
  <c r="C8" i="11"/>
  <c r="C10" i="11" s="1"/>
  <c r="O7" i="11"/>
  <c r="N7" i="11"/>
  <c r="O6" i="11"/>
  <c r="N6" i="11"/>
  <c r="J22" i="10"/>
  <c r="D22" i="10"/>
  <c r="I14" i="10"/>
  <c r="C12" i="10"/>
  <c r="C15" i="10" s="1"/>
  <c r="I10" i="10"/>
  <c r="I12" i="10" s="1"/>
  <c r="I15" i="10" s="1"/>
  <c r="C10" i="10"/>
  <c r="C14" i="10" s="1"/>
  <c r="O69" i="9"/>
  <c r="N69" i="9"/>
  <c r="H69" i="9"/>
  <c r="I69" i="9" s="1"/>
  <c r="D69" i="9"/>
  <c r="E69" i="9" s="1"/>
  <c r="O67" i="9"/>
  <c r="P67" i="9" s="1"/>
  <c r="Q67" i="9" s="1"/>
  <c r="N67" i="9"/>
  <c r="H67" i="9"/>
  <c r="I67" i="9" s="1"/>
  <c r="D67" i="9"/>
  <c r="E67" i="9" s="1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8" i="9"/>
  <c r="P58" i="9" s="1"/>
  <c r="Q58" i="9" s="1"/>
  <c r="N58" i="9"/>
  <c r="L58" i="9"/>
  <c r="M58" i="9" s="1"/>
  <c r="H58" i="9"/>
  <c r="I58" i="9" s="1"/>
  <c r="D58" i="9"/>
  <c r="E58" i="9" s="1"/>
  <c r="O57" i="9"/>
  <c r="P57" i="9" s="1"/>
  <c r="Q57" i="9" s="1"/>
  <c r="N57" i="9"/>
  <c r="L57" i="9"/>
  <c r="M57" i="9" s="1"/>
  <c r="H57" i="9"/>
  <c r="I57" i="9" s="1"/>
  <c r="D57" i="9"/>
  <c r="E57" i="9" s="1"/>
  <c r="O56" i="9"/>
  <c r="P56" i="9" s="1"/>
  <c r="Q56" i="9" s="1"/>
  <c r="N56" i="9"/>
  <c r="L56" i="9"/>
  <c r="M56" i="9" s="1"/>
  <c r="H56" i="9"/>
  <c r="I56" i="9" s="1"/>
  <c r="D56" i="9"/>
  <c r="E56" i="9" s="1"/>
  <c r="O55" i="9"/>
  <c r="N55" i="9"/>
  <c r="L55" i="9"/>
  <c r="M55" i="9" s="1"/>
  <c r="H55" i="9"/>
  <c r="I55" i="9" s="1"/>
  <c r="D55" i="9"/>
  <c r="E55" i="9" s="1"/>
  <c r="P54" i="9"/>
  <c r="Q54" i="9" s="1"/>
  <c r="O54" i="9"/>
  <c r="N54" i="9"/>
  <c r="L54" i="9"/>
  <c r="M54" i="9" s="1"/>
  <c r="H54" i="9"/>
  <c r="I54" i="9" s="1"/>
  <c r="D54" i="9"/>
  <c r="E54" i="9" s="1"/>
  <c r="O53" i="9"/>
  <c r="N53" i="9"/>
  <c r="P53" i="9" s="1"/>
  <c r="Q53" i="9" s="1"/>
  <c r="L53" i="9"/>
  <c r="M53" i="9" s="1"/>
  <c r="H53" i="9"/>
  <c r="I53" i="9" s="1"/>
  <c r="D53" i="9"/>
  <c r="E53" i="9" s="1"/>
  <c r="O52" i="9"/>
  <c r="N52" i="9"/>
  <c r="L52" i="9"/>
  <c r="M52" i="9" s="1"/>
  <c r="H52" i="9"/>
  <c r="I52" i="9" s="1"/>
  <c r="D52" i="9"/>
  <c r="E52" i="9" s="1"/>
  <c r="O51" i="9"/>
  <c r="P51" i="9" s="1"/>
  <c r="Q51" i="9" s="1"/>
  <c r="N51" i="9"/>
  <c r="L51" i="9"/>
  <c r="M51" i="9" s="1"/>
  <c r="O50" i="9"/>
  <c r="P50" i="9" s="1"/>
  <c r="Q50" i="9" s="1"/>
  <c r="N50" i="9"/>
  <c r="L50" i="9"/>
  <c r="M50" i="9" s="1"/>
  <c r="H50" i="9"/>
  <c r="I50" i="9" s="1"/>
  <c r="D50" i="9"/>
  <c r="E50" i="9" s="1"/>
  <c r="O49" i="9"/>
  <c r="N49" i="9"/>
  <c r="P49" i="9" s="1"/>
  <c r="Q49" i="9" s="1"/>
  <c r="L49" i="9"/>
  <c r="M49" i="9" s="1"/>
  <c r="H49" i="9"/>
  <c r="I49" i="9" s="1"/>
  <c r="D49" i="9"/>
  <c r="E49" i="9" s="1"/>
  <c r="O48" i="9"/>
  <c r="N48" i="9"/>
  <c r="L48" i="9"/>
  <c r="M48" i="9" s="1"/>
  <c r="H48" i="9"/>
  <c r="I48" i="9" s="1"/>
  <c r="D48" i="9"/>
  <c r="E48" i="9" s="1"/>
  <c r="O47" i="9"/>
  <c r="N47" i="9"/>
  <c r="P47" i="9" s="1"/>
  <c r="Q47" i="9" s="1"/>
  <c r="L47" i="9"/>
  <c r="M47" i="9" s="1"/>
  <c r="P46" i="9"/>
  <c r="Q46" i="9" s="1"/>
  <c r="O46" i="9"/>
  <c r="N46" i="9"/>
  <c r="L46" i="9"/>
  <c r="M46" i="9" s="1"/>
  <c r="H46" i="9"/>
  <c r="I46" i="9" s="1"/>
  <c r="D46" i="9"/>
  <c r="E46" i="9" s="1"/>
  <c r="P45" i="9"/>
  <c r="Q45" i="9" s="1"/>
  <c r="O45" i="9"/>
  <c r="N45" i="9"/>
  <c r="L45" i="9"/>
  <c r="M45" i="9" s="1"/>
  <c r="H45" i="9"/>
  <c r="I45" i="9" s="1"/>
  <c r="D45" i="9"/>
  <c r="E45" i="9" s="1"/>
  <c r="O44" i="9"/>
  <c r="N44" i="9"/>
  <c r="L44" i="9"/>
  <c r="M44" i="9" s="1"/>
  <c r="H44" i="9"/>
  <c r="I44" i="9" s="1"/>
  <c r="D44" i="9"/>
  <c r="E44" i="9" s="1"/>
  <c r="O43" i="9"/>
  <c r="N43" i="9"/>
  <c r="P43" i="9" s="1"/>
  <c r="Q43" i="9" s="1"/>
  <c r="L43" i="9"/>
  <c r="M43" i="9" s="1"/>
  <c r="H43" i="9"/>
  <c r="I43" i="9" s="1"/>
  <c r="D43" i="9"/>
  <c r="E43" i="9" s="1"/>
  <c r="O42" i="9"/>
  <c r="P42" i="9" s="1"/>
  <c r="Q42" i="9" s="1"/>
  <c r="N42" i="9"/>
  <c r="L42" i="9"/>
  <c r="M42" i="9" s="1"/>
  <c r="H42" i="9"/>
  <c r="I42" i="9" s="1"/>
  <c r="D42" i="9"/>
  <c r="E42" i="9" s="1"/>
  <c r="O41" i="9"/>
  <c r="N41" i="9"/>
  <c r="L41" i="9"/>
  <c r="M41" i="9" s="1"/>
  <c r="O40" i="9"/>
  <c r="P40" i="9" s="1"/>
  <c r="Q40" i="9" s="1"/>
  <c r="N40" i="9"/>
  <c r="L40" i="9"/>
  <c r="M40" i="9" s="1"/>
  <c r="H40" i="9"/>
  <c r="I40" i="9" s="1"/>
  <c r="D40" i="9"/>
  <c r="E40" i="9" s="1"/>
  <c r="O39" i="9"/>
  <c r="P39" i="9" s="1"/>
  <c r="Q39" i="9" s="1"/>
  <c r="N39" i="9"/>
  <c r="L39" i="9"/>
  <c r="M39" i="9" s="1"/>
  <c r="H39" i="9"/>
  <c r="I39" i="9" s="1"/>
  <c r="D39" i="9"/>
  <c r="E39" i="9" s="1"/>
  <c r="O38" i="9"/>
  <c r="N38" i="9"/>
  <c r="P38" i="9" s="1"/>
  <c r="Q38" i="9" s="1"/>
  <c r="L38" i="9"/>
  <c r="M38" i="9" s="1"/>
  <c r="H38" i="9"/>
  <c r="I38" i="9" s="1"/>
  <c r="D38" i="9"/>
  <c r="E38" i="9" s="1"/>
  <c r="O37" i="9"/>
  <c r="N37" i="9"/>
  <c r="L37" i="9"/>
  <c r="M37" i="9" s="1"/>
  <c r="O36" i="9"/>
  <c r="N36" i="9"/>
  <c r="L36" i="9"/>
  <c r="M36" i="9" s="1"/>
  <c r="I36" i="9"/>
  <c r="H36" i="9"/>
  <c r="D36" i="9"/>
  <c r="E36" i="9" s="1"/>
  <c r="O35" i="9"/>
  <c r="N35" i="9"/>
  <c r="P35" i="9" s="1"/>
  <c r="Q35" i="9" s="1"/>
  <c r="L35" i="9"/>
  <c r="M35" i="9" s="1"/>
  <c r="H35" i="9"/>
  <c r="I35" i="9" s="1"/>
  <c r="E35" i="9"/>
  <c r="D35" i="9"/>
  <c r="O34" i="9"/>
  <c r="P34" i="9" s="1"/>
  <c r="Q34" i="9" s="1"/>
  <c r="N34" i="9"/>
  <c r="M34" i="9"/>
  <c r="L34" i="9"/>
  <c r="P33" i="9"/>
  <c r="Q33" i="9" s="1"/>
  <c r="O33" i="9"/>
  <c r="N33" i="9"/>
  <c r="L33" i="9"/>
  <c r="M33" i="9" s="1"/>
  <c r="H33" i="9"/>
  <c r="I33" i="9" s="1"/>
  <c r="D33" i="9"/>
  <c r="E33" i="9" s="1"/>
  <c r="P32" i="9"/>
  <c r="Q32" i="9" s="1"/>
  <c r="L32" i="9"/>
  <c r="M32" i="9" s="1"/>
  <c r="H32" i="9"/>
  <c r="I32" i="9" s="1"/>
  <c r="D32" i="9"/>
  <c r="E32" i="9" s="1"/>
  <c r="O31" i="9"/>
  <c r="P31" i="9" s="1"/>
  <c r="Q31" i="9" s="1"/>
  <c r="N31" i="9"/>
  <c r="L31" i="9"/>
  <c r="M31" i="9" s="1"/>
  <c r="H31" i="9"/>
  <c r="I31" i="9" s="1"/>
  <c r="D31" i="9"/>
  <c r="E31" i="9" s="1"/>
  <c r="O30" i="9"/>
  <c r="N30" i="9"/>
  <c r="P30" i="9" s="1"/>
  <c r="Q30" i="9" s="1"/>
  <c r="L30" i="9"/>
  <c r="M30" i="9" s="1"/>
  <c r="H30" i="9"/>
  <c r="I30" i="9" s="1"/>
  <c r="D30" i="9"/>
  <c r="E30" i="9" s="1"/>
  <c r="O29" i="9"/>
  <c r="N29" i="9"/>
  <c r="P29" i="9" s="1"/>
  <c r="Q29" i="9" s="1"/>
  <c r="L29" i="9"/>
  <c r="M29" i="9" s="1"/>
  <c r="H29" i="9"/>
  <c r="I29" i="9" s="1"/>
  <c r="D29" i="9"/>
  <c r="E29" i="9" s="1"/>
  <c r="O28" i="9"/>
  <c r="P28" i="9" s="1"/>
  <c r="Q28" i="9" s="1"/>
  <c r="N28" i="9"/>
  <c r="L28" i="9"/>
  <c r="M28" i="9" s="1"/>
  <c r="H28" i="9"/>
  <c r="I28" i="9" s="1"/>
  <c r="D28" i="9"/>
  <c r="E28" i="9" s="1"/>
  <c r="O27" i="9"/>
  <c r="P27" i="9" s="1"/>
  <c r="Q27" i="9" s="1"/>
  <c r="N27" i="9"/>
  <c r="L27" i="9"/>
  <c r="M27" i="9" s="1"/>
  <c r="H27" i="9"/>
  <c r="I27" i="9" s="1"/>
  <c r="D27" i="9"/>
  <c r="E27" i="9" s="1"/>
  <c r="O26" i="9"/>
  <c r="N26" i="9"/>
  <c r="L26" i="9"/>
  <c r="M26" i="9" s="1"/>
  <c r="H26" i="9"/>
  <c r="I26" i="9" s="1"/>
  <c r="D26" i="9"/>
  <c r="E26" i="9" s="1"/>
  <c r="O25" i="9"/>
  <c r="P25" i="9" s="1"/>
  <c r="Q25" i="9" s="1"/>
  <c r="N25" i="9"/>
  <c r="L25" i="9"/>
  <c r="M25" i="9" s="1"/>
  <c r="O24" i="9"/>
  <c r="N24" i="9"/>
  <c r="P24" i="9" s="1"/>
  <c r="Q24" i="9" s="1"/>
  <c r="L24" i="9"/>
  <c r="M24" i="9" s="1"/>
  <c r="H24" i="9"/>
  <c r="I24" i="9" s="1"/>
  <c r="D24" i="9"/>
  <c r="E24" i="9" s="1"/>
  <c r="O23" i="9"/>
  <c r="P23" i="9" s="1"/>
  <c r="Q23" i="9" s="1"/>
  <c r="N23" i="9"/>
  <c r="L23" i="9"/>
  <c r="M23" i="9" s="1"/>
  <c r="H23" i="9"/>
  <c r="I23" i="9" s="1"/>
  <c r="D23" i="9"/>
  <c r="E23" i="9" s="1"/>
  <c r="O22" i="9"/>
  <c r="N22" i="9"/>
  <c r="P22" i="9" s="1"/>
  <c r="Q22" i="9" s="1"/>
  <c r="L22" i="9"/>
  <c r="M22" i="9" s="1"/>
  <c r="H22" i="9"/>
  <c r="I22" i="9" s="1"/>
  <c r="D22" i="9"/>
  <c r="E22" i="9" s="1"/>
  <c r="O21" i="9"/>
  <c r="P21" i="9" s="1"/>
  <c r="Q21" i="9" s="1"/>
  <c r="N21" i="9"/>
  <c r="L21" i="9"/>
  <c r="M21" i="9" s="1"/>
  <c r="H21" i="9"/>
  <c r="I21" i="9" s="1"/>
  <c r="D21" i="9"/>
  <c r="E21" i="9" s="1"/>
  <c r="P20" i="9"/>
  <c r="Q20" i="9" s="1"/>
  <c r="O20" i="9"/>
  <c r="N20" i="9"/>
  <c r="L20" i="9"/>
  <c r="M20" i="9" s="1"/>
  <c r="H20" i="9"/>
  <c r="I20" i="9" s="1"/>
  <c r="D20" i="9"/>
  <c r="E20" i="9" s="1"/>
  <c r="O19" i="9"/>
  <c r="N19" i="9"/>
  <c r="L19" i="9"/>
  <c r="M19" i="9" s="1"/>
  <c r="H19" i="9"/>
  <c r="I19" i="9" s="1"/>
  <c r="D19" i="9"/>
  <c r="E19" i="9" s="1"/>
  <c r="O18" i="9"/>
  <c r="P18" i="9" s="1"/>
  <c r="Q18" i="9" s="1"/>
  <c r="N18" i="9"/>
  <c r="L18" i="9"/>
  <c r="M18" i="9" s="1"/>
  <c r="H18" i="9"/>
  <c r="I18" i="9" s="1"/>
  <c r="D18" i="9"/>
  <c r="E18" i="9" s="1"/>
  <c r="O17" i="9"/>
  <c r="N17" i="9"/>
  <c r="L17" i="9"/>
  <c r="M17" i="9" s="1"/>
  <c r="H17" i="9"/>
  <c r="I17" i="9" s="1"/>
  <c r="D17" i="9"/>
  <c r="E17" i="9" s="1"/>
  <c r="O16" i="9"/>
  <c r="N16" i="9"/>
  <c r="L16" i="9"/>
  <c r="M16" i="9" s="1"/>
  <c r="H16" i="9"/>
  <c r="I16" i="9" s="1"/>
  <c r="D16" i="9"/>
  <c r="E16" i="9" s="1"/>
  <c r="O15" i="9"/>
  <c r="P15" i="9" s="1"/>
  <c r="Q15" i="9" s="1"/>
  <c r="N15" i="9"/>
  <c r="L15" i="9"/>
  <c r="M15" i="9" s="1"/>
  <c r="O14" i="9"/>
  <c r="P14" i="9" s="1"/>
  <c r="Q14" i="9" s="1"/>
  <c r="N14" i="9"/>
  <c r="L14" i="9"/>
  <c r="M14" i="9" s="1"/>
  <c r="H14" i="9"/>
  <c r="I14" i="9" s="1"/>
  <c r="D14" i="9"/>
  <c r="E14" i="9" s="1"/>
  <c r="O13" i="9"/>
  <c r="N13" i="9"/>
  <c r="P13" i="9" s="1"/>
  <c r="Q13" i="9" s="1"/>
  <c r="L13" i="9"/>
  <c r="M13" i="9" s="1"/>
  <c r="H13" i="9"/>
  <c r="I13" i="9" s="1"/>
  <c r="D13" i="9"/>
  <c r="E13" i="9" s="1"/>
  <c r="O12" i="9"/>
  <c r="N12" i="9"/>
  <c r="P12" i="9" s="1"/>
  <c r="Q12" i="9" s="1"/>
  <c r="L12" i="9"/>
  <c r="M12" i="9" s="1"/>
  <c r="H12" i="9"/>
  <c r="I12" i="9" s="1"/>
  <c r="D12" i="9"/>
  <c r="E12" i="9" s="1"/>
  <c r="O11" i="9"/>
  <c r="P11" i="9" s="1"/>
  <c r="Q11" i="9" s="1"/>
  <c r="N11" i="9"/>
  <c r="L11" i="9"/>
  <c r="M11" i="9" s="1"/>
  <c r="H11" i="9"/>
  <c r="I11" i="9" s="1"/>
  <c r="D11" i="9"/>
  <c r="E11" i="9" s="1"/>
  <c r="O10" i="9"/>
  <c r="P10" i="9" s="1"/>
  <c r="Q10" i="9" s="1"/>
  <c r="N10" i="9"/>
  <c r="L10" i="9"/>
  <c r="M10" i="9" s="1"/>
  <c r="H10" i="9"/>
  <c r="I10" i="9" s="1"/>
  <c r="D10" i="9"/>
  <c r="E10" i="9" s="1"/>
  <c r="O9" i="9"/>
  <c r="N9" i="9"/>
  <c r="P9" i="9" s="1"/>
  <c r="Q9" i="9" s="1"/>
  <c r="L9" i="9"/>
  <c r="M9" i="9" s="1"/>
  <c r="H9" i="9"/>
  <c r="I9" i="9" s="1"/>
  <c r="D9" i="9"/>
  <c r="E9" i="9" s="1"/>
  <c r="O8" i="9"/>
  <c r="P8" i="9" s="1"/>
  <c r="N8" i="9"/>
  <c r="L8" i="9"/>
  <c r="D17" i="8"/>
  <c r="C17" i="8"/>
  <c r="D13" i="8"/>
  <c r="D19" i="8" s="1"/>
  <c r="D20" i="8" s="1"/>
  <c r="C13" i="8"/>
  <c r="C19" i="8" s="1"/>
  <c r="C20" i="8" s="1"/>
  <c r="D9" i="8"/>
  <c r="D22" i="8" s="1"/>
  <c r="C7" i="8"/>
  <c r="C9" i="8" s="1"/>
  <c r="C22" i="8" s="1"/>
  <c r="H38" i="7"/>
  <c r="G38" i="7"/>
  <c r="F38" i="7"/>
  <c r="E38" i="7"/>
  <c r="D38" i="7"/>
  <c r="C38" i="7"/>
  <c r="J37" i="7"/>
  <c r="I37" i="7"/>
  <c r="J36" i="7"/>
  <c r="I36" i="7"/>
  <c r="M34" i="7"/>
  <c r="L34" i="7"/>
  <c r="O34" i="7" s="1"/>
  <c r="J34" i="7"/>
  <c r="M33" i="7"/>
  <c r="L33" i="7"/>
  <c r="N33" i="7" s="1"/>
  <c r="J33" i="7"/>
  <c r="L12" i="7"/>
  <c r="J12" i="7"/>
  <c r="I12" i="7"/>
  <c r="G10" i="7"/>
  <c r="I9" i="7"/>
  <c r="H8" i="7"/>
  <c r="H10" i="7" s="1"/>
  <c r="G8" i="7"/>
  <c r="F8" i="7"/>
  <c r="F10" i="7" s="1"/>
  <c r="F27" i="7" s="1"/>
  <c r="E8" i="7"/>
  <c r="E10" i="7" s="1"/>
  <c r="D8" i="7"/>
  <c r="D10" i="7" s="1"/>
  <c r="C8" i="7"/>
  <c r="C10" i="7" s="1"/>
  <c r="C17" i="7" s="1"/>
  <c r="I7" i="7"/>
  <c r="M6" i="7"/>
  <c r="L6" i="7"/>
  <c r="O6" i="7" s="1"/>
  <c r="J6" i="7"/>
  <c r="I6" i="7"/>
  <c r="L57" i="6"/>
  <c r="H57" i="6"/>
  <c r="K45" i="6"/>
  <c r="K49" i="6" s="1"/>
  <c r="G45" i="6"/>
  <c r="G49" i="6" s="1"/>
  <c r="L23" i="6"/>
  <c r="H23" i="6"/>
  <c r="D23" i="6"/>
  <c r="K13" i="6"/>
  <c r="K16" i="6" s="1"/>
  <c r="G13" i="6"/>
  <c r="G16" i="6" s="1"/>
  <c r="K11" i="6"/>
  <c r="K15" i="6" s="1"/>
  <c r="G11" i="6"/>
  <c r="G15" i="6" s="1"/>
  <c r="C11" i="6"/>
  <c r="C15" i="6" s="1"/>
  <c r="E43" i="5"/>
  <c r="D43" i="5"/>
  <c r="R40" i="5"/>
  <c r="S40" i="5" s="1"/>
  <c r="Q40" i="5"/>
  <c r="M40" i="5"/>
  <c r="L40" i="5"/>
  <c r="K40" i="5"/>
  <c r="N40" i="5" s="1"/>
  <c r="I40" i="5"/>
  <c r="H40" i="5"/>
  <c r="G40" i="5"/>
  <c r="F40" i="5"/>
  <c r="E40" i="5"/>
  <c r="D40" i="5"/>
  <c r="C40" i="5"/>
  <c r="T39" i="5"/>
  <c r="S39" i="5"/>
  <c r="O39" i="5"/>
  <c r="N39" i="5"/>
  <c r="J39" i="5"/>
  <c r="I39" i="5"/>
  <c r="T38" i="5"/>
  <c r="S38" i="5"/>
  <c r="O38" i="5"/>
  <c r="N38" i="5"/>
  <c r="J38" i="5"/>
  <c r="I38" i="5"/>
  <c r="T36" i="5"/>
  <c r="O36" i="5"/>
  <c r="J36" i="5"/>
  <c r="T35" i="5"/>
  <c r="O35" i="5"/>
  <c r="J35" i="5"/>
  <c r="T19" i="5"/>
  <c r="S19" i="5"/>
  <c r="T12" i="5"/>
  <c r="S12" i="5"/>
  <c r="O12" i="5"/>
  <c r="N12" i="5"/>
  <c r="J12" i="5"/>
  <c r="I12" i="5"/>
  <c r="R10" i="5"/>
  <c r="R17" i="5" s="1"/>
  <c r="T9" i="5"/>
  <c r="S9" i="5"/>
  <c r="O9" i="5"/>
  <c r="N9" i="5"/>
  <c r="J9" i="5"/>
  <c r="I9" i="5"/>
  <c r="R8" i="5"/>
  <c r="Q8" i="5"/>
  <c r="Q10" i="5" s="1"/>
  <c r="M8" i="5"/>
  <c r="M10" i="5" s="1"/>
  <c r="L8" i="5"/>
  <c r="L10" i="5" s="1"/>
  <c r="L29" i="5" s="1"/>
  <c r="K8" i="5"/>
  <c r="K10" i="5" s="1"/>
  <c r="H8" i="5"/>
  <c r="H10" i="5" s="1"/>
  <c r="H17" i="5" s="1"/>
  <c r="G8" i="5"/>
  <c r="G10" i="5" s="1"/>
  <c r="F8" i="5"/>
  <c r="F10" i="5" s="1"/>
  <c r="E8" i="5"/>
  <c r="E10" i="5" s="1"/>
  <c r="E29" i="5" s="1"/>
  <c r="D8" i="5"/>
  <c r="D10" i="5" s="1"/>
  <c r="C8" i="5"/>
  <c r="C10" i="5" s="1"/>
  <c r="T7" i="5"/>
  <c r="S7" i="5"/>
  <c r="O7" i="5"/>
  <c r="N7" i="5"/>
  <c r="J7" i="5"/>
  <c r="I7" i="5"/>
  <c r="T6" i="5"/>
  <c r="S6" i="5"/>
  <c r="O6" i="5"/>
  <c r="N6" i="5"/>
  <c r="J6" i="5"/>
  <c r="I6" i="5"/>
  <c r="F59" i="4"/>
  <c r="U57" i="4"/>
  <c r="V55" i="4"/>
  <c r="R55" i="4"/>
  <c r="J55" i="4"/>
  <c r="D55" i="4"/>
  <c r="N47" i="4"/>
  <c r="N43" i="4"/>
  <c r="N45" i="4" s="1"/>
  <c r="N48" i="4" s="1"/>
  <c r="I43" i="4"/>
  <c r="I47" i="4" s="1"/>
  <c r="F43" i="4"/>
  <c r="F45" i="4" s="1"/>
  <c r="F48" i="4" s="1"/>
  <c r="C43" i="4"/>
  <c r="C45" i="4" s="1"/>
  <c r="C48" i="4" s="1"/>
  <c r="U42" i="4"/>
  <c r="U46" i="4" s="1"/>
  <c r="Y22" i="4"/>
  <c r="U22" i="4"/>
  <c r="Q22" i="4"/>
  <c r="N22" i="4"/>
  <c r="J22" i="4"/>
  <c r="D22" i="4"/>
  <c r="X10" i="4"/>
  <c r="X14" i="4" s="1"/>
  <c r="T10" i="4"/>
  <c r="T14" i="4" s="1"/>
  <c r="P10" i="4"/>
  <c r="P14" i="4" s="1"/>
  <c r="M10" i="4"/>
  <c r="M14" i="4" s="1"/>
  <c r="I10" i="4"/>
  <c r="I14" i="4" s="1"/>
  <c r="C10" i="4"/>
  <c r="C14" i="4" s="1"/>
  <c r="M38" i="3"/>
  <c r="L38" i="3"/>
  <c r="K38" i="3"/>
  <c r="J38" i="3"/>
  <c r="I38" i="3"/>
  <c r="H38" i="3"/>
  <c r="G38" i="3"/>
  <c r="F38" i="3"/>
  <c r="E38" i="3"/>
  <c r="D38" i="3"/>
  <c r="O38" i="3" s="1"/>
  <c r="C38" i="3"/>
  <c r="U37" i="3"/>
  <c r="O37" i="3"/>
  <c r="N37" i="3"/>
  <c r="U36" i="3"/>
  <c r="O36" i="3"/>
  <c r="N36" i="3"/>
  <c r="U34" i="3"/>
  <c r="O34" i="3"/>
  <c r="U33" i="3"/>
  <c r="O33" i="3"/>
  <c r="E25" i="3"/>
  <c r="E27" i="3" s="1"/>
  <c r="U17" i="3"/>
  <c r="R17" i="3"/>
  <c r="Q17" i="3"/>
  <c r="O17" i="3"/>
  <c r="N17" i="3"/>
  <c r="E10" i="3"/>
  <c r="E11" i="3" s="1"/>
  <c r="C10" i="3"/>
  <c r="C11" i="3" s="1"/>
  <c r="C19" i="3" s="1"/>
  <c r="M8" i="3"/>
  <c r="M10" i="3" s="1"/>
  <c r="L8" i="3"/>
  <c r="L10" i="3" s="1"/>
  <c r="K8" i="3"/>
  <c r="K10" i="3" s="1"/>
  <c r="K25" i="3" s="1"/>
  <c r="K27" i="3" s="1"/>
  <c r="J8" i="3"/>
  <c r="J10" i="3" s="1"/>
  <c r="I8" i="3"/>
  <c r="I10" i="3" s="1"/>
  <c r="H8" i="3"/>
  <c r="H10" i="3" s="1"/>
  <c r="H11" i="3" s="1"/>
  <c r="G8" i="3"/>
  <c r="G10" i="3" s="1"/>
  <c r="F8" i="3"/>
  <c r="F10" i="3" s="1"/>
  <c r="E8" i="3"/>
  <c r="D8" i="3"/>
  <c r="D10" i="3" s="1"/>
  <c r="C8" i="3"/>
  <c r="I53" i="2"/>
  <c r="C47" i="2"/>
  <c r="C52" i="2" s="1"/>
  <c r="J31" i="2" s="1"/>
  <c r="J32" i="2" s="1"/>
  <c r="C38" i="2"/>
  <c r="K32" i="2"/>
  <c r="K18" i="2"/>
  <c r="F17" i="2"/>
  <c r="C7" i="2"/>
  <c r="C6" i="2"/>
  <c r="C9" i="2" s="1"/>
  <c r="C12" i="2" s="1"/>
  <c r="L25" i="3" l="1"/>
  <c r="L27" i="3" s="1"/>
  <c r="L11" i="3"/>
  <c r="L19" i="3" s="1"/>
  <c r="I25" i="3"/>
  <c r="I27" i="3" s="1"/>
  <c r="I11" i="3"/>
  <c r="I19" i="3" s="1"/>
  <c r="E17" i="7"/>
  <c r="E11" i="7"/>
  <c r="E19" i="7" s="1"/>
  <c r="E21" i="7" s="1"/>
  <c r="F29" i="3"/>
  <c r="F25" i="3"/>
  <c r="F27" i="3" s="1"/>
  <c r="F11" i="3"/>
  <c r="F19" i="3" s="1"/>
  <c r="N38" i="3"/>
  <c r="R11" i="5"/>
  <c r="R21" i="5" s="1"/>
  <c r="P16" i="9"/>
  <c r="Q16" i="9" s="1"/>
  <c r="P19" i="9"/>
  <c r="Q19" i="9" s="1"/>
  <c r="G44" i="11"/>
  <c r="E44" i="5"/>
  <c r="P41" i="9"/>
  <c r="Q41" i="9" s="1"/>
  <c r="G40" i="11"/>
  <c r="O39" i="11"/>
  <c r="C29" i="3"/>
  <c r="J40" i="5"/>
  <c r="G17" i="6"/>
  <c r="G19" i="6" s="1"/>
  <c r="G23" i="6" s="1"/>
  <c r="N34" i="7"/>
  <c r="U44" i="4"/>
  <c r="U47" i="4" s="1"/>
  <c r="T8" i="5"/>
  <c r="O40" i="5"/>
  <c r="K17" i="6"/>
  <c r="K19" i="6" s="1"/>
  <c r="K23" i="6" s="1"/>
  <c r="N6" i="7"/>
  <c r="P17" i="9"/>
  <c r="Q17" i="9" s="1"/>
  <c r="G40" i="13"/>
  <c r="H40" i="13" s="1"/>
  <c r="T17" i="3"/>
  <c r="T40" i="5"/>
  <c r="C13" i="6"/>
  <c r="C16" i="6" s="1"/>
  <c r="K47" i="6"/>
  <c r="K50" i="6" s="1"/>
  <c r="K51" i="6" s="1"/>
  <c r="K53" i="6" s="1"/>
  <c r="K57" i="6" s="1"/>
  <c r="P26" i="9"/>
  <c r="Q26" i="9" s="1"/>
  <c r="E45" i="13"/>
  <c r="H21" i="11"/>
  <c r="H15" i="11"/>
  <c r="C16" i="10"/>
  <c r="C18" i="10" s="1"/>
  <c r="C22" i="10" s="1"/>
  <c r="M17" i="11"/>
  <c r="M11" i="11"/>
  <c r="M31" i="11"/>
  <c r="M29" i="11"/>
  <c r="I16" i="10"/>
  <c r="I18" i="10" s="1"/>
  <c r="I22" i="10" s="1"/>
  <c r="C11" i="11"/>
  <c r="C31" i="11" s="1"/>
  <c r="C29" i="11"/>
  <c r="O10" i="11"/>
  <c r="N10" i="11"/>
  <c r="C17" i="11"/>
  <c r="I11" i="11"/>
  <c r="I29" i="11"/>
  <c r="I17" i="11"/>
  <c r="K29" i="11"/>
  <c r="K17" i="11"/>
  <c r="K11" i="11"/>
  <c r="E17" i="13"/>
  <c r="E11" i="13"/>
  <c r="E31" i="13" s="1"/>
  <c r="E29" i="13"/>
  <c r="G17" i="11"/>
  <c r="G11" i="11"/>
  <c r="G31" i="11"/>
  <c r="G29" i="11"/>
  <c r="F17" i="13"/>
  <c r="F11" i="13"/>
  <c r="F31" i="13" s="1"/>
  <c r="F29" i="13"/>
  <c r="D11" i="11"/>
  <c r="D31" i="11"/>
  <c r="D29" i="11"/>
  <c r="D17" i="11"/>
  <c r="J11" i="11"/>
  <c r="J29" i="11"/>
  <c r="J17" i="11"/>
  <c r="H10" i="13"/>
  <c r="C29" i="13"/>
  <c r="G10" i="13"/>
  <c r="C17" i="13"/>
  <c r="C11" i="13"/>
  <c r="E29" i="11"/>
  <c r="E17" i="11"/>
  <c r="E11" i="11"/>
  <c r="D29" i="13"/>
  <c r="D17" i="13"/>
  <c r="D11" i="13"/>
  <c r="D31" i="13" s="1"/>
  <c r="H17" i="11"/>
  <c r="F29" i="11"/>
  <c r="L29" i="11"/>
  <c r="F40" i="11"/>
  <c r="C14" i="12"/>
  <c r="C16" i="12" s="1"/>
  <c r="C18" i="12" s="1"/>
  <c r="C22" i="12" s="1"/>
  <c r="F11" i="11"/>
  <c r="F31" i="11" s="1"/>
  <c r="L11" i="11"/>
  <c r="I14" i="12"/>
  <c r="I16" i="12" s="1"/>
  <c r="I18" i="12" s="1"/>
  <c r="I22" i="12" s="1"/>
  <c r="H29" i="11"/>
  <c r="H31" i="11"/>
  <c r="D45" i="13"/>
  <c r="N38" i="11"/>
  <c r="C47" i="4"/>
  <c r="C49" i="4" s="1"/>
  <c r="C51" i="4" s="1"/>
  <c r="C55" i="4" s="1"/>
  <c r="C57" i="4" s="1"/>
  <c r="C59" i="4" s="1"/>
  <c r="C60" i="4" s="1"/>
  <c r="C61" i="4" s="1"/>
  <c r="I45" i="4"/>
  <c r="I48" i="4" s="1"/>
  <c r="I49" i="4" s="1"/>
  <c r="I51" i="4" s="1"/>
  <c r="I55" i="4" s="1"/>
  <c r="C17" i="5"/>
  <c r="C11" i="5"/>
  <c r="C31" i="5" s="1"/>
  <c r="C29" i="5"/>
  <c r="I10" i="5"/>
  <c r="J10" i="5" s="1"/>
  <c r="K21" i="6"/>
  <c r="K25" i="6"/>
  <c r="K27" i="6" s="1"/>
  <c r="K28" i="6" s="1"/>
  <c r="K29" i="6" s="1"/>
  <c r="U48" i="4"/>
  <c r="U50" i="4" s="1"/>
  <c r="U54" i="4" s="1"/>
  <c r="M29" i="5"/>
  <c r="M17" i="5"/>
  <c r="M11" i="5"/>
  <c r="M31" i="5" s="1"/>
  <c r="K31" i="5"/>
  <c r="K17" i="5"/>
  <c r="N10" i="5"/>
  <c r="K29" i="5"/>
  <c r="O10" i="5"/>
  <c r="K11" i="5"/>
  <c r="D17" i="5"/>
  <c r="D11" i="5"/>
  <c r="D29" i="5"/>
  <c r="F29" i="5"/>
  <c r="F17" i="5"/>
  <c r="F11" i="5"/>
  <c r="F31" i="5"/>
  <c r="Q11" i="5"/>
  <c r="Q31" i="5" s="1"/>
  <c r="Q17" i="5"/>
  <c r="T17" i="5" s="1"/>
  <c r="T10" i="5"/>
  <c r="Q29" i="5"/>
  <c r="G29" i="5"/>
  <c r="G17" i="5"/>
  <c r="G11" i="5"/>
  <c r="G31" i="5" s="1"/>
  <c r="R25" i="5"/>
  <c r="R27" i="5" s="1"/>
  <c r="R23" i="5"/>
  <c r="D28" i="8"/>
  <c r="D25" i="8" s="1"/>
  <c r="G21" i="6"/>
  <c r="G25" i="6"/>
  <c r="G27" i="6" s="1"/>
  <c r="G28" i="6" s="1"/>
  <c r="G29" i="6" s="1"/>
  <c r="P16" i="4"/>
  <c r="P18" i="4" s="1"/>
  <c r="P22" i="4" s="1"/>
  <c r="N49" i="4"/>
  <c r="N51" i="4" s="1"/>
  <c r="N55" i="4" s="1"/>
  <c r="C17" i="6"/>
  <c r="C19" i="6" s="1"/>
  <c r="C23" i="6" s="1"/>
  <c r="M12" i="4"/>
  <c r="M15" i="4" s="1"/>
  <c r="M16" i="4" s="1"/>
  <c r="M18" i="4" s="1"/>
  <c r="M22" i="4" s="1"/>
  <c r="F47" i="4"/>
  <c r="F49" i="4" s="1"/>
  <c r="F51" i="4" s="1"/>
  <c r="F55" i="4" s="1"/>
  <c r="E11" i="5"/>
  <c r="L11" i="5"/>
  <c r="E17" i="5"/>
  <c r="L17" i="5"/>
  <c r="R29" i="5"/>
  <c r="D44" i="5"/>
  <c r="H17" i="7"/>
  <c r="H11" i="7"/>
  <c r="H29" i="7"/>
  <c r="H27" i="7"/>
  <c r="P55" i="9"/>
  <c r="Q55" i="9" s="1"/>
  <c r="Q69" i="9"/>
  <c r="I12" i="4"/>
  <c r="I15" i="4" s="1"/>
  <c r="I16" i="4" s="1"/>
  <c r="I18" i="4" s="1"/>
  <c r="I22" i="4" s="1"/>
  <c r="P12" i="4"/>
  <c r="P15" i="4" s="1"/>
  <c r="G47" i="6"/>
  <c r="G50" i="6" s="1"/>
  <c r="G51" i="6" s="1"/>
  <c r="G53" i="6" s="1"/>
  <c r="G57" i="6" s="1"/>
  <c r="C27" i="7"/>
  <c r="L10" i="7"/>
  <c r="J10" i="7"/>
  <c r="J38" i="7"/>
  <c r="I38" i="7"/>
  <c r="P36" i="9"/>
  <c r="Q36" i="9" s="1"/>
  <c r="P44" i="9"/>
  <c r="Q44" i="9" s="1"/>
  <c r="P52" i="9"/>
  <c r="Q52" i="9" s="1"/>
  <c r="H29" i="5"/>
  <c r="T12" i="4"/>
  <c r="T15" i="4" s="1"/>
  <c r="T16" i="4" s="1"/>
  <c r="T18" i="4" s="1"/>
  <c r="T22" i="4" s="1"/>
  <c r="O8" i="5"/>
  <c r="R15" i="5"/>
  <c r="D17" i="7"/>
  <c r="D11" i="7"/>
  <c r="D29" i="7" s="1"/>
  <c r="E29" i="7"/>
  <c r="E27" i="7"/>
  <c r="E23" i="7"/>
  <c r="E25" i="7" s="1"/>
  <c r="D27" i="7"/>
  <c r="C28" i="8"/>
  <c r="E22" i="8"/>
  <c r="X12" i="4"/>
  <c r="X15" i="4" s="1"/>
  <c r="X16" i="4" s="1"/>
  <c r="X18" i="4" s="1"/>
  <c r="X22" i="4" s="1"/>
  <c r="H11" i="5"/>
  <c r="H31" i="5" s="1"/>
  <c r="R31" i="5"/>
  <c r="G27" i="7"/>
  <c r="G17" i="7"/>
  <c r="G11" i="7"/>
  <c r="C12" i="4"/>
  <c r="C15" i="4" s="1"/>
  <c r="C16" i="4" s="1"/>
  <c r="C18" i="4" s="1"/>
  <c r="C22" i="4" s="1"/>
  <c r="F17" i="7"/>
  <c r="F11" i="7"/>
  <c r="C11" i="7"/>
  <c r="E15" i="7"/>
  <c r="P37" i="9"/>
  <c r="Q37" i="9" s="1"/>
  <c r="P48" i="9"/>
  <c r="Q48" i="9" s="1"/>
  <c r="P69" i="9"/>
  <c r="O33" i="7"/>
  <c r="G11" i="3"/>
  <c r="G25" i="3"/>
  <c r="G27" i="3" s="1"/>
  <c r="E29" i="3"/>
  <c r="E15" i="3"/>
  <c r="E19" i="3"/>
  <c r="C21" i="3"/>
  <c r="D25" i="3"/>
  <c r="D27" i="3" s="1"/>
  <c r="D11" i="3"/>
  <c r="J25" i="3"/>
  <c r="J27" i="3" s="1"/>
  <c r="J11" i="3"/>
  <c r="J29" i="3" s="1"/>
  <c r="F21" i="3"/>
  <c r="F23" i="3"/>
  <c r="M11" i="3"/>
  <c r="M25" i="3"/>
  <c r="M27" i="3" s="1"/>
  <c r="M29" i="3"/>
  <c r="H19" i="3"/>
  <c r="H15" i="3"/>
  <c r="I21" i="3"/>
  <c r="I23" i="3"/>
  <c r="L23" i="3"/>
  <c r="L21" i="3"/>
  <c r="D16" i="2"/>
  <c r="D17" i="2" s="1"/>
  <c r="U38" i="3"/>
  <c r="K11" i="3"/>
  <c r="F15" i="3"/>
  <c r="L15" i="3"/>
  <c r="S17" i="3"/>
  <c r="H25" i="3"/>
  <c r="H27" i="3" s="1"/>
  <c r="H29" i="3"/>
  <c r="J17" i="2"/>
  <c r="J18" i="2" s="1"/>
  <c r="C23" i="3"/>
  <c r="C25" i="3"/>
  <c r="C15" i="3"/>
  <c r="I15" i="3"/>
  <c r="K55" i="6" l="1"/>
  <c r="K59" i="6"/>
  <c r="K61" i="6" s="1"/>
  <c r="K62" i="6" s="1"/>
  <c r="K63" i="6" s="1"/>
  <c r="O29" i="5"/>
  <c r="J17" i="7"/>
  <c r="T31" i="5"/>
  <c r="L29" i="3"/>
  <c r="C24" i="12"/>
  <c r="C26" i="12" s="1"/>
  <c r="C27" i="12" s="1"/>
  <c r="C20" i="12"/>
  <c r="I21" i="11"/>
  <c r="I15" i="11"/>
  <c r="L15" i="11"/>
  <c r="L21" i="11"/>
  <c r="H17" i="13"/>
  <c r="D21" i="11"/>
  <c r="D15" i="11"/>
  <c r="O29" i="11"/>
  <c r="M21" i="11"/>
  <c r="M15" i="11"/>
  <c r="J21" i="11"/>
  <c r="J15" i="11"/>
  <c r="I24" i="12"/>
  <c r="I26" i="12" s="1"/>
  <c r="I27" i="12" s="1"/>
  <c r="I20" i="12"/>
  <c r="H11" i="13"/>
  <c r="G11" i="13"/>
  <c r="C15" i="13"/>
  <c r="C21" i="13"/>
  <c r="F21" i="11"/>
  <c r="F15" i="11"/>
  <c r="E21" i="11"/>
  <c r="E15" i="11"/>
  <c r="C31" i="13"/>
  <c r="H31" i="13" s="1"/>
  <c r="J31" i="11"/>
  <c r="G21" i="11"/>
  <c r="G15" i="11"/>
  <c r="K21" i="11"/>
  <c r="K15" i="11"/>
  <c r="I31" i="11"/>
  <c r="O11" i="11"/>
  <c r="N11" i="11"/>
  <c r="C21" i="11"/>
  <c r="C15" i="11"/>
  <c r="C24" i="10"/>
  <c r="C26" i="10" s="1"/>
  <c r="C27" i="10" s="1"/>
  <c r="C20" i="10"/>
  <c r="N40" i="11"/>
  <c r="O40" i="11" s="1"/>
  <c r="D15" i="13"/>
  <c r="D21" i="13"/>
  <c r="H29" i="13"/>
  <c r="F15" i="13"/>
  <c r="F21" i="13"/>
  <c r="O17" i="11"/>
  <c r="I24" i="10"/>
  <c r="I26" i="10" s="1"/>
  <c r="I27" i="10" s="1"/>
  <c r="I20" i="10"/>
  <c r="L31" i="11"/>
  <c r="E31" i="11"/>
  <c r="E15" i="13"/>
  <c r="E21" i="13"/>
  <c r="K31" i="11"/>
  <c r="H25" i="11"/>
  <c r="H27" i="11" s="1"/>
  <c r="H23" i="11"/>
  <c r="M24" i="4"/>
  <c r="M26" i="4" s="1"/>
  <c r="M27" i="4" s="1"/>
  <c r="M28" i="4" s="1"/>
  <c r="M20" i="4"/>
  <c r="G59" i="6"/>
  <c r="G61" i="6" s="1"/>
  <c r="G62" i="6" s="1"/>
  <c r="G63" i="6" s="1"/>
  <c r="G55" i="6"/>
  <c r="I24" i="4"/>
  <c r="I26" i="4" s="1"/>
  <c r="I27" i="4" s="1"/>
  <c r="I28" i="4" s="1"/>
  <c r="I20" i="4"/>
  <c r="C24" i="4"/>
  <c r="C26" i="4" s="1"/>
  <c r="C27" i="4" s="1"/>
  <c r="C28" i="4" s="1"/>
  <c r="C20" i="4"/>
  <c r="X24" i="4"/>
  <c r="X26" i="4" s="1"/>
  <c r="X27" i="4" s="1"/>
  <c r="X28" i="4" s="1"/>
  <c r="X20" i="4"/>
  <c r="T24" i="4"/>
  <c r="T26" i="4" s="1"/>
  <c r="T27" i="4" s="1"/>
  <c r="T28" i="4" s="1"/>
  <c r="T32" i="4" s="1"/>
  <c r="T20" i="4"/>
  <c r="N53" i="4"/>
  <c r="N57" i="4"/>
  <c r="N59" i="4" s="1"/>
  <c r="N60" i="4" s="1"/>
  <c r="N61" i="4" s="1"/>
  <c r="D15" i="7"/>
  <c r="D19" i="7"/>
  <c r="H15" i="7"/>
  <c r="H19" i="7"/>
  <c r="L21" i="5"/>
  <c r="L15" i="5"/>
  <c r="L31" i="5"/>
  <c r="O31" i="5" s="1"/>
  <c r="I57" i="4"/>
  <c r="I59" i="4" s="1"/>
  <c r="I60" i="4" s="1"/>
  <c r="I61" i="4" s="1"/>
  <c r="I53" i="4"/>
  <c r="K21" i="5"/>
  <c r="K15" i="5"/>
  <c r="O11" i="5"/>
  <c r="N11" i="5"/>
  <c r="J29" i="5"/>
  <c r="G19" i="7"/>
  <c r="G15" i="7"/>
  <c r="C19" i="7"/>
  <c r="C15" i="7"/>
  <c r="J11" i="7"/>
  <c r="E28" i="8"/>
  <c r="C30" i="8"/>
  <c r="C24" i="8"/>
  <c r="C25" i="8"/>
  <c r="E21" i="5"/>
  <c r="E15" i="5"/>
  <c r="E31" i="5"/>
  <c r="F57" i="4"/>
  <c r="F61" i="4" s="1"/>
  <c r="F62" i="4" s="1"/>
  <c r="F54" i="4"/>
  <c r="C53" i="4" s="1"/>
  <c r="G21" i="5"/>
  <c r="G15" i="5"/>
  <c r="D21" i="5"/>
  <c r="D15" i="5"/>
  <c r="P24" i="4"/>
  <c r="P26" i="4" s="1"/>
  <c r="P27" i="4" s="1"/>
  <c r="P28" i="4" s="1"/>
  <c r="P32" i="4" s="1"/>
  <c r="P20" i="4"/>
  <c r="U56" i="4"/>
  <c r="U58" i="4" s="1"/>
  <c r="U59" i="4" s="1"/>
  <c r="U60" i="4" s="1"/>
  <c r="U52" i="4"/>
  <c r="F15" i="7"/>
  <c r="F19" i="7"/>
  <c r="F29" i="7"/>
  <c r="L27" i="7"/>
  <c r="I27" i="7"/>
  <c r="J27" i="7"/>
  <c r="M27" i="7"/>
  <c r="F15" i="5"/>
  <c r="F21" i="5"/>
  <c r="I11" i="5"/>
  <c r="C21" i="5"/>
  <c r="C15" i="5"/>
  <c r="Q21" i="5"/>
  <c r="Q15" i="5"/>
  <c r="T15" i="5" s="1"/>
  <c r="T11" i="5"/>
  <c r="S11" i="5"/>
  <c r="G29" i="7"/>
  <c r="H21" i="5"/>
  <c r="H15" i="5"/>
  <c r="C29" i="7"/>
  <c r="C21" i="6"/>
  <c r="C25" i="6"/>
  <c r="C27" i="6" s="1"/>
  <c r="C28" i="6" s="1"/>
  <c r="C29" i="6" s="1"/>
  <c r="D24" i="8"/>
  <c r="D26" i="8" s="1"/>
  <c r="D30" i="8"/>
  <c r="D33" i="8" s="1"/>
  <c r="T29" i="5"/>
  <c r="S29" i="5"/>
  <c r="D31" i="5"/>
  <c r="J31" i="5" s="1"/>
  <c r="O17" i="5"/>
  <c r="M21" i="5"/>
  <c r="M15" i="5"/>
  <c r="J17" i="5"/>
  <c r="G19" i="3"/>
  <c r="G15" i="3"/>
  <c r="Q25" i="3"/>
  <c r="C27" i="3"/>
  <c r="O25" i="3"/>
  <c r="U25" i="3"/>
  <c r="N25" i="3"/>
  <c r="R25" i="3"/>
  <c r="K19" i="3"/>
  <c r="K15" i="3"/>
  <c r="O15" i="3" s="1"/>
  <c r="M19" i="3"/>
  <c r="M15" i="3"/>
  <c r="D19" i="3"/>
  <c r="D15" i="3"/>
  <c r="D29" i="3"/>
  <c r="H21" i="3"/>
  <c r="H23" i="3"/>
  <c r="J19" i="3"/>
  <c r="J15" i="3"/>
  <c r="E21" i="3"/>
  <c r="E23" i="3"/>
  <c r="K29" i="3"/>
  <c r="R15" i="3" l="1"/>
  <c r="J29" i="7"/>
  <c r="O31" i="11"/>
  <c r="Q15" i="3"/>
  <c r="O15" i="11"/>
  <c r="K23" i="11"/>
  <c r="K25" i="11"/>
  <c r="K27" i="11" s="1"/>
  <c r="C25" i="11"/>
  <c r="C23" i="11"/>
  <c r="O21" i="11"/>
  <c r="N21" i="11"/>
  <c r="E25" i="11"/>
  <c r="E27" i="11" s="1"/>
  <c r="E23" i="11"/>
  <c r="C25" i="13"/>
  <c r="H21" i="13"/>
  <c r="G21" i="13"/>
  <c r="C23" i="13"/>
  <c r="D25" i="11"/>
  <c r="D27" i="11" s="1"/>
  <c r="D23" i="11"/>
  <c r="D23" i="13"/>
  <c r="D25" i="13"/>
  <c r="D27" i="13" s="1"/>
  <c r="M25" i="11"/>
  <c r="M27" i="11" s="1"/>
  <c r="M23" i="11"/>
  <c r="E23" i="13"/>
  <c r="E25" i="13"/>
  <c r="E27" i="13" s="1"/>
  <c r="G25" i="11"/>
  <c r="G27" i="11" s="1"/>
  <c r="G23" i="11"/>
  <c r="I25" i="11"/>
  <c r="I27" i="11" s="1"/>
  <c r="I23" i="11"/>
  <c r="F23" i="13"/>
  <c r="F25" i="13"/>
  <c r="F27" i="13" s="1"/>
  <c r="H15" i="13"/>
  <c r="J25" i="11"/>
  <c r="J27" i="11" s="1"/>
  <c r="J23" i="11"/>
  <c r="F25" i="11"/>
  <c r="F27" i="11" s="1"/>
  <c r="F23" i="11"/>
  <c r="L25" i="11"/>
  <c r="L27" i="11" s="1"/>
  <c r="L23" i="11"/>
  <c r="F23" i="7"/>
  <c r="F25" i="7" s="1"/>
  <c r="F21" i="7"/>
  <c r="G21" i="7"/>
  <c r="G23" i="7"/>
  <c r="G25" i="7" s="1"/>
  <c r="D23" i="7"/>
  <c r="D25" i="7" s="1"/>
  <c r="D21" i="7"/>
  <c r="J15" i="5"/>
  <c r="D25" i="5"/>
  <c r="D27" i="5" s="1"/>
  <c r="D23" i="5"/>
  <c r="E25" i="5"/>
  <c r="E27" i="5" s="1"/>
  <c r="E23" i="5"/>
  <c r="L15" i="7"/>
  <c r="J15" i="7"/>
  <c r="Q23" i="5"/>
  <c r="T23" i="5" s="1"/>
  <c r="T21" i="5"/>
  <c r="S21" i="5"/>
  <c r="Q25" i="5"/>
  <c r="H23" i="5"/>
  <c r="H25" i="5"/>
  <c r="H27" i="5" s="1"/>
  <c r="C23" i="5"/>
  <c r="J21" i="5"/>
  <c r="C25" i="5"/>
  <c r="N27" i="7"/>
  <c r="O27" i="7"/>
  <c r="G23" i="5"/>
  <c r="G25" i="5"/>
  <c r="G27" i="5" s="1"/>
  <c r="C21" i="7"/>
  <c r="I19" i="7"/>
  <c r="C23" i="7"/>
  <c r="J19" i="7"/>
  <c r="O15" i="5"/>
  <c r="L25" i="5"/>
  <c r="L27" i="5" s="1"/>
  <c r="L23" i="5"/>
  <c r="C33" i="8"/>
  <c r="E33" i="8" s="1"/>
  <c r="E30" i="8"/>
  <c r="M25" i="5"/>
  <c r="M27" i="5" s="1"/>
  <c r="M23" i="5"/>
  <c r="F25" i="5"/>
  <c r="F27" i="5" s="1"/>
  <c r="F23" i="5"/>
  <c r="C26" i="8"/>
  <c r="E26" i="8" s="1"/>
  <c r="K25" i="5"/>
  <c r="K23" i="5"/>
  <c r="O23" i="5" s="1"/>
  <c r="O21" i="5"/>
  <c r="H23" i="7"/>
  <c r="H25" i="7" s="1"/>
  <c r="H21" i="7"/>
  <c r="S15" i="3"/>
  <c r="T15" i="3"/>
  <c r="M21" i="3"/>
  <c r="M23" i="3"/>
  <c r="U27" i="3"/>
  <c r="O27" i="3"/>
  <c r="J23" i="3"/>
  <c r="J21" i="3"/>
  <c r="O29" i="3"/>
  <c r="U29" i="3"/>
  <c r="Q29" i="3"/>
  <c r="R29" i="3"/>
  <c r="K21" i="3"/>
  <c r="K23" i="3"/>
  <c r="T25" i="3"/>
  <c r="S25" i="3"/>
  <c r="G21" i="3"/>
  <c r="G23" i="3"/>
  <c r="U15" i="3"/>
  <c r="D23" i="3"/>
  <c r="D21" i="3"/>
  <c r="Q19" i="3"/>
  <c r="O19" i="3"/>
  <c r="U19" i="3"/>
  <c r="N19" i="3"/>
  <c r="R19" i="3"/>
  <c r="H23" i="13" l="1"/>
  <c r="C27" i="11"/>
  <c r="O27" i="11" s="1"/>
  <c r="O25" i="11"/>
  <c r="N25" i="11"/>
  <c r="C27" i="13"/>
  <c r="H27" i="13" s="1"/>
  <c r="H25" i="13"/>
  <c r="G25" i="13"/>
  <c r="O23" i="11"/>
  <c r="C27" i="5"/>
  <c r="J27" i="5" s="1"/>
  <c r="J25" i="5"/>
  <c r="J23" i="5"/>
  <c r="K27" i="5"/>
  <c r="O27" i="5" s="1"/>
  <c r="O25" i="5"/>
  <c r="M23" i="7"/>
  <c r="J23" i="7"/>
  <c r="C25" i="7"/>
  <c r="J25" i="7" s="1"/>
  <c r="I23" i="7"/>
  <c r="L23" i="7"/>
  <c r="Q27" i="5"/>
  <c r="T27" i="5" s="1"/>
  <c r="T25" i="5"/>
  <c r="S25" i="5"/>
  <c r="J21" i="7"/>
  <c r="O21" i="3"/>
  <c r="R21" i="3"/>
  <c r="Q21" i="3"/>
  <c r="O23" i="3"/>
  <c r="U23" i="3"/>
  <c r="C13" i="2" s="1"/>
  <c r="C14" i="2" s="1"/>
  <c r="N23" i="3"/>
  <c r="R23" i="3"/>
  <c r="Q23" i="3"/>
  <c r="U21" i="3"/>
  <c r="S29" i="3"/>
  <c r="T29" i="3"/>
  <c r="T19" i="3"/>
  <c r="S19" i="3"/>
  <c r="O23" i="7" l="1"/>
  <c r="N23" i="7"/>
  <c r="S21" i="3"/>
  <c r="T21" i="3"/>
  <c r="S23" i="3"/>
  <c r="T23" i="3"/>
  <c r="D20" i="2"/>
  <c r="C20" i="2"/>
  <c r="F20" i="2"/>
  <c r="E20" i="2"/>
  <c r="K19" i="2" l="1"/>
  <c r="K21" i="2" s="1"/>
  <c r="K22" i="2" s="1"/>
  <c r="K25" i="2" s="1"/>
  <c r="F32" i="2"/>
  <c r="F21" i="2"/>
  <c r="C32" i="2"/>
  <c r="C21" i="2"/>
  <c r="I19" i="2"/>
  <c r="I21" i="2" s="1"/>
  <c r="I22" i="2" s="1"/>
  <c r="I25" i="2" s="1"/>
  <c r="E32" i="2"/>
  <c r="E33" i="2" s="1"/>
  <c r="E36" i="2" s="1"/>
  <c r="E21" i="2"/>
  <c r="E24" i="2" s="1"/>
  <c r="D32" i="2"/>
  <c r="D21" i="2"/>
  <c r="J19" i="2"/>
  <c r="J21" i="2" s="1"/>
  <c r="J22" i="2" s="1"/>
  <c r="J25" i="2" s="1"/>
  <c r="C24" i="2" l="1"/>
  <c r="I20" i="2"/>
  <c r="D24" i="2"/>
  <c r="J20" i="2"/>
  <c r="C33" i="2"/>
  <c r="I33" i="2"/>
  <c r="I35" i="2" s="1"/>
  <c r="I36" i="2" s="1"/>
  <c r="I39" i="2" s="1"/>
  <c r="J33" i="2"/>
  <c r="J35" i="2" s="1"/>
  <c r="J36" i="2" s="1"/>
  <c r="J39" i="2" s="1"/>
  <c r="D33" i="2"/>
  <c r="K20" i="2"/>
  <c r="F24" i="2"/>
  <c r="K33" i="2"/>
  <c r="K35" i="2" s="1"/>
  <c r="K36" i="2" s="1"/>
  <c r="K39" i="2" s="1"/>
  <c r="F33" i="2"/>
  <c r="F36" i="2" s="1"/>
  <c r="K34" i="2" s="1"/>
  <c r="C36" i="2" l="1"/>
  <c r="I34" i="2"/>
  <c r="D36" i="2"/>
  <c r="J34" i="2"/>
</calcChain>
</file>

<file path=xl/sharedStrings.xml><?xml version="1.0" encoding="utf-8"?>
<sst xmlns="http://schemas.openxmlformats.org/spreadsheetml/2006/main" count="809" uniqueCount="331">
  <si>
    <t>Behavioral Health - Mental health Workgroup</t>
  </si>
  <si>
    <t>Psychiatric Model Summary</t>
  </si>
  <si>
    <t>Model Calculation</t>
  </si>
  <si>
    <t>2/3 Psychiatric Salary (2080 Hours) (Average of Cost Reports)</t>
  </si>
  <si>
    <t>Per hour</t>
  </si>
  <si>
    <t>1/3 Nursing Salary (2080 Hours) (Average of Cost Reports)</t>
  </si>
  <si>
    <t>B&amp;T (15% of total personal Expense)</t>
  </si>
  <si>
    <t>Total Personnel</t>
  </si>
  <si>
    <t>Indirect Cost</t>
  </si>
  <si>
    <t>Cost of 1 FTE</t>
  </si>
  <si>
    <t xml:space="preserve">Hours Billable for Service </t>
  </si>
  <si>
    <t>CNP/PA at 90% of Psychiatric Rate</t>
  </si>
  <si>
    <t>Hours Billable for Service</t>
  </si>
  <si>
    <t>Psychiatric Model Calculation Results (15 Min)</t>
  </si>
  <si>
    <t>Modeled Psychiatric Rate (hour unit)</t>
  </si>
  <si>
    <t>Modeled Psychiatric Rate (15 minute unit)</t>
  </si>
  <si>
    <t>CNP/PA Rate at 90% Psych Rate(Hour Rate)</t>
  </si>
  <si>
    <t>CNP/PA Rate at 90% Psych Rate(15 Minute Unit)</t>
  </si>
  <si>
    <t>2018 CPI-U</t>
  </si>
  <si>
    <t>Inflated Modeled Psychiatric Rate (15 minute unit)</t>
  </si>
  <si>
    <t>Inflated Modeled CNP/PA Rate (15 minute unit)</t>
  </si>
  <si>
    <t>SFY18 Psychiatric Rate (15 Minute Unit)</t>
  </si>
  <si>
    <t>SFY18 CNP/PA Rate (15 Minute Unit)</t>
  </si>
  <si>
    <t>SFY19 Psychiatric Rate (15 minute unit)</t>
  </si>
  <si>
    <t>SFY19 CNP/PA Rate (15 Minute Unit)</t>
  </si>
  <si>
    <t>20 Minute Unit</t>
  </si>
  <si>
    <t>Psychiatric Model Calculation Results (20 Min)</t>
  </si>
  <si>
    <t>Modeled Psychiatric Rate (20 minute unit)</t>
  </si>
  <si>
    <t>Inflated Modeled Psychiatric Rate (20 minute unit)</t>
  </si>
  <si>
    <t>CNP/PA Rate at 90% Psych Rate(20 Minute Unit)</t>
  </si>
  <si>
    <t>Current (SFY19) Psychiatric Rate Converted to 20 minute unit</t>
  </si>
  <si>
    <t>Inflated Modeled CNP/PA Rate (20 minute unit)</t>
  </si>
  <si>
    <t>Average length of initial Psychiatric diagnostic evaluation is 60 minutes per provider feedback</t>
  </si>
  <si>
    <t>SFY18 CNP/PA Rate Converted to 20 Minute Unit</t>
  </si>
  <si>
    <t>Medicaid Psych Evaluation current encounter Rate 90791</t>
  </si>
  <si>
    <t>SFY19 CNP/PA Rate Converted to 20 Minute Unit</t>
  </si>
  <si>
    <t>Average Billable Time from Providers</t>
  </si>
  <si>
    <t>Follow Up Appointments</t>
  </si>
  <si>
    <t>Minutes</t>
  </si>
  <si>
    <t>DCI</t>
  </si>
  <si>
    <t>HSA</t>
  </si>
  <si>
    <t>SPBH</t>
  </si>
  <si>
    <t>LCBH</t>
  </si>
  <si>
    <t>ECBH</t>
  </si>
  <si>
    <t>NEMH</t>
  </si>
  <si>
    <t>SEBH</t>
  </si>
  <si>
    <t>Three Rivers</t>
  </si>
  <si>
    <t>BMS</t>
  </si>
  <si>
    <t>Average</t>
  </si>
  <si>
    <t>SB147 Y3 - Psychiatric</t>
  </si>
  <si>
    <t>Psychiatric Services - cost report data</t>
  </si>
  <si>
    <t>FY17</t>
  </si>
  <si>
    <t>Data used from 2018 Cost Report</t>
  </si>
  <si>
    <t>CACS</t>
  </si>
  <si>
    <t>CCS</t>
  </si>
  <si>
    <t>Sum</t>
  </si>
  <si>
    <t>FOLLOW-UP ITEMS</t>
  </si>
  <si>
    <t>Psychiatric Services</t>
  </si>
  <si>
    <t>Line 9</t>
  </si>
  <si>
    <t>Psychiatric Services 1020 Professional/Program Staff Personnel Expense</t>
  </si>
  <si>
    <t>Line 13</t>
  </si>
  <si>
    <t>Psychiatric Services Total Personnel Expense</t>
  </si>
  <si>
    <t xml:space="preserve">Percentage </t>
  </si>
  <si>
    <t>Line 23</t>
  </si>
  <si>
    <t>Psychiatric services Benefits and Taxes</t>
  </si>
  <si>
    <t xml:space="preserve">Portion Attributed to 1020 </t>
  </si>
  <si>
    <t>Psychiatric Services 1020 Professional/Program Staff Personnel with Benefits and Taxes</t>
  </si>
  <si>
    <t>Average Excluding 1 Standard Deviation</t>
  </si>
  <si>
    <t>Line 57</t>
  </si>
  <si>
    <t>Total Psychiatric Services Expense</t>
  </si>
  <si>
    <t>Mean</t>
  </si>
  <si>
    <t>1 STD</t>
  </si>
  <si>
    <t>Mean = 1 STD</t>
  </si>
  <si>
    <t>Mean - 1STD</t>
  </si>
  <si>
    <t>Psychiatric services Direct Care Expense to Total Psychiatric services Expense</t>
  </si>
  <si>
    <t xml:space="preserve">1238 Psychiatric Services (Contracted) </t>
  </si>
  <si>
    <t>Direct Care Cost plus Contracted services (line 1238)</t>
  </si>
  <si>
    <t>Direct Care Cost Plus contracted services as a percentage of total Expenditures</t>
  </si>
  <si>
    <t>Total Indirect Cost</t>
  </si>
  <si>
    <t>Total Personnel Benefits and Taxes</t>
  </si>
  <si>
    <t>Percent of Benefits and Taxes to total expense</t>
  </si>
  <si>
    <t>Benefits and Taxes as a percentage of Direct Care Cost</t>
  </si>
  <si>
    <t>Other Information</t>
  </si>
  <si>
    <t xml:space="preserve">Cost per Unit from 2017 cost report </t>
  </si>
  <si>
    <t xml:space="preserve">Cost per Unit from 2018 cost report </t>
  </si>
  <si>
    <t>SFY19 Rate</t>
  </si>
  <si>
    <t>Totals</t>
  </si>
  <si>
    <t>STARS Title XIX Expenditure SFY 2018</t>
  </si>
  <si>
    <t>STARS Contract Expenditure SFY 2018</t>
  </si>
  <si>
    <t>STARS Paid Expenditure SFY 2018</t>
  </si>
  <si>
    <t>SB 147 YR3 Behavioral Health</t>
  </si>
  <si>
    <t>CARE - Model Summary</t>
  </si>
  <si>
    <t>Draft Model Example</t>
  </si>
  <si>
    <t>Standard CARE Rate Calculation minus 1STD based on cost per unit</t>
  </si>
  <si>
    <t>CARE Rate Calculation for all CARE providers minus 1 Standard Deviation</t>
  </si>
  <si>
    <t xml:space="preserve">Standard CARE Rate Calculation </t>
  </si>
  <si>
    <t>Transitional CARE Rate Calculation</t>
  </si>
  <si>
    <t>CARE Rate Calculation for all CARE providers</t>
  </si>
  <si>
    <t>Frontier CARE Rate Calculation</t>
  </si>
  <si>
    <t>CARE Services 1020 Professional/Program Staff Personnel Expense</t>
  </si>
  <si>
    <t>Total CARE Team Salaries</t>
  </si>
  <si>
    <t>x 12.98% Ben. &amp; Taxes</t>
  </si>
  <si>
    <t>x 12.43% Ben. &amp; Taxes</t>
  </si>
  <si>
    <t>x 8.60% Ben. &amp; Taxes</t>
  </si>
  <si>
    <t>x 12.82% Ben. &amp; Taxes</t>
  </si>
  <si>
    <t>x 12.28% Ben. &amp; Taxes</t>
  </si>
  <si>
    <t>x 18.70% Ben. &amp; Taxes</t>
  </si>
  <si>
    <t>Total CARE Benefits and Taxes</t>
  </si>
  <si>
    <t>Total Direct Care Staff Salaries</t>
  </si>
  <si>
    <t>Total CARE Team B&amp;T</t>
  </si>
  <si>
    <t>Total CARE Team salary Cost (B&amp;T)</t>
  </si>
  <si>
    <t>Total CARE Team salary cost (B&amp;T)</t>
  </si>
  <si>
    <t>Total operating costs</t>
  </si>
  <si>
    <t>Total Cost of CARE Team divided by</t>
  </si>
  <si>
    <t>AVG Units From Cost Reports</t>
  </si>
  <si>
    <t>Daily CARE Rate Calculation</t>
  </si>
  <si>
    <t>Duplication Percentage 5.96%</t>
  </si>
  <si>
    <t>2.07% CPI-U Inflation</t>
  </si>
  <si>
    <t>SFY18 Rate</t>
  </si>
  <si>
    <t>Excluded CCS &amp; DCI</t>
  </si>
  <si>
    <t>Exclude CCS, DCI &amp; LCBH</t>
  </si>
  <si>
    <t>Rural rate (20% addon)</t>
  </si>
  <si>
    <t>CARE Frontier Rate Calculation</t>
  </si>
  <si>
    <t>CARE Rate Calculation (Standard and Transitional)</t>
  </si>
  <si>
    <t>x 11.74% Ben. &amp; Taxes</t>
  </si>
  <si>
    <t>x 11.08% Ben. &amp; Taxes</t>
  </si>
  <si>
    <t>/ operating Costs</t>
  </si>
  <si>
    <t>AVG Total Units From Cost Reports</t>
  </si>
  <si>
    <t>AVG Billable Contacts From Cost Reports Minus Duplication Percent (5.96%)</t>
  </si>
  <si>
    <t>SB147 Y3 - CARE</t>
  </si>
  <si>
    <t>CARE Services - cost report data</t>
  </si>
  <si>
    <t>SUM</t>
  </si>
  <si>
    <t>CARE Services</t>
  </si>
  <si>
    <t>CARE Services Total Personnel Expense</t>
  </si>
  <si>
    <t>CARE services Benefits and Taxes</t>
  </si>
  <si>
    <t>CARE Services 1020 Professional/Program Staff Personnel with Benefits and Taxes</t>
  </si>
  <si>
    <t>Total CARE Services Expense</t>
  </si>
  <si>
    <t>CARE services Direct Care Expense to Total Psychiatric services Expense</t>
  </si>
  <si>
    <t>Benefits and taxes as a percentage of total Expense</t>
  </si>
  <si>
    <t xml:space="preserve">1238 CARE Services (Contracted) </t>
  </si>
  <si>
    <t>Indirect cost as a percentage of total Expenditures</t>
  </si>
  <si>
    <t>IMPACT - Model Summary</t>
  </si>
  <si>
    <t>IMPACT Rate Calculation - All Providers</t>
  </si>
  <si>
    <t>IMPACT Rate Calculation - BMS, LCBH, and SEBH</t>
  </si>
  <si>
    <t>IMPACT Rate Calculation - CCS, CACS, and NEMH</t>
  </si>
  <si>
    <t>Impact Services 1020 Professional/Program Staff Personnel Expense</t>
  </si>
  <si>
    <t>Total IMPACT Team Salaries</t>
  </si>
  <si>
    <t>x 11.68% Ben. &amp; Taxes</t>
  </si>
  <si>
    <t>x 12.14% Ben. &amp; Taxes</t>
  </si>
  <si>
    <t>x 11.22% Ben. &amp; Taxes</t>
  </si>
  <si>
    <t>Total IMPACT Benefits and Taxes</t>
  </si>
  <si>
    <t>Total IMPACT Team B&amp;T</t>
  </si>
  <si>
    <t>Total IMPACT Team salary Cost (B&amp;T)</t>
  </si>
  <si>
    <t>Total IMPACT Team salary cost (B&amp;T)</t>
  </si>
  <si>
    <t>Total Cost of IMPACT Team divided by</t>
  </si>
  <si>
    <t>Daily IMPACT RATE</t>
  </si>
  <si>
    <t>Duplication Percentage 4.23%</t>
  </si>
  <si>
    <t>IMPACT Rate Calculation minus 1 Standard Deviation</t>
  </si>
  <si>
    <t>IMPACT Rate Calculation minus CACS and NEMH</t>
  </si>
  <si>
    <t>x 11.78% Ben. &amp; Taxes</t>
  </si>
  <si>
    <t>x 11.89% Ben. &amp; Taxes</t>
  </si>
  <si>
    <t>Excluded CCS</t>
  </si>
  <si>
    <t>SB147 Y3 - IMPACT</t>
  </si>
  <si>
    <t>IMPACT Services - cost report data</t>
  </si>
  <si>
    <t>IMPACT Services</t>
  </si>
  <si>
    <t>IMPACT Services 1020 Professional/Program Staff Personnel Expense</t>
  </si>
  <si>
    <t>IMPACT Services Total Personnel Expense</t>
  </si>
  <si>
    <t>IMPACT services Benefits and Taxes</t>
  </si>
  <si>
    <t>IMPACT Services 1020 Professional/Program Staff Personnel with Benefits and Taxes</t>
  </si>
  <si>
    <t>Total IMPACT Services Expense</t>
  </si>
  <si>
    <t>IMPACT services Direct Care Expense to Total Psychiatric services Expense</t>
  </si>
  <si>
    <t>Total Indirect Cost as a percentage of total expense</t>
  </si>
  <si>
    <t>Room and Board - Model Summary</t>
  </si>
  <si>
    <t>Professional/Program Staff/Support Staff/Temporary Staff</t>
  </si>
  <si>
    <t>Units on Schedule A</t>
  </si>
  <si>
    <t>Residential Worker Expense/Day Unit</t>
  </si>
  <si>
    <t>Room and Board expense</t>
  </si>
  <si>
    <t>Total expense</t>
  </si>
  <si>
    <t>Percentage of R&amp;B to total cost</t>
  </si>
  <si>
    <t>Admin/Indirect/Other Costs</t>
  </si>
  <si>
    <t>Total Expense</t>
  </si>
  <si>
    <t>Percentage of Admin/Indirect/Other to total Cost</t>
  </si>
  <si>
    <t>Total Direct Percentage</t>
  </si>
  <si>
    <t>Total Indirect Percentage</t>
  </si>
  <si>
    <t>R&amp;B Portion (18.50%/6.37% of Total Modeled Rate)</t>
  </si>
  <si>
    <t>Admin/Indirect/Other Portion (9.66%/8.01% of Total Modeled Rate)</t>
  </si>
  <si>
    <t>Total Non-Residential Worker Expense/Unit</t>
  </si>
  <si>
    <t>Total Modeled Rate (Residential Worker + R&amp;B + Admin/Indirect+ Other)</t>
  </si>
  <si>
    <t>Occupancy</t>
  </si>
  <si>
    <t>Modeled Rate at 90% Occupancy</t>
  </si>
  <si>
    <t>2019 CPI-U</t>
  </si>
  <si>
    <t>Indexed Modeled Non treatment Daily Rate</t>
  </si>
  <si>
    <t>Room and Board</t>
  </si>
  <si>
    <t>Schedule A Comparison</t>
  </si>
  <si>
    <t>Organization</t>
  </si>
  <si>
    <t>Behavorial Management Services, Inc.</t>
  </si>
  <si>
    <t>Capital Area Counseling Services</t>
  </si>
  <si>
    <t>Human Services Agency</t>
  </si>
  <si>
    <t>Totall All Providers</t>
  </si>
  <si>
    <t>Change</t>
  </si>
  <si>
    <t>Account Number and Title</t>
  </si>
  <si>
    <t>1000 Personnel Services</t>
  </si>
  <si>
    <t>1010 Administrative</t>
  </si>
  <si>
    <t>1020 Professional/Program Staff</t>
  </si>
  <si>
    <t>1040 Support Staff</t>
  </si>
  <si>
    <t>1050 Client Wages</t>
  </si>
  <si>
    <t>1060 Temporary Staff</t>
  </si>
  <si>
    <t>Total Personnel Services:</t>
  </si>
  <si>
    <t>1100 Personnel Benefits and Taxes:</t>
  </si>
  <si>
    <t>1110 Retirement Plans</t>
  </si>
  <si>
    <t>1120 Insurance Benefits</t>
  </si>
  <si>
    <t>1130 Other Benefits</t>
  </si>
  <si>
    <t>1140 FICA Taxes</t>
  </si>
  <si>
    <t>1150 Unemployment Insurance</t>
  </si>
  <si>
    <t>1160 Worker's Comp. Insurance</t>
  </si>
  <si>
    <t>1170 Prof. Liability Insurance</t>
  </si>
  <si>
    <t xml:space="preserve">1190 Other  </t>
  </si>
  <si>
    <t>Total Personnel Benefits and Taxes:</t>
  </si>
  <si>
    <t>1200 Prof. Fees and Contract Svcs.</t>
  </si>
  <si>
    <t>1210 Administrative/Financial</t>
  </si>
  <si>
    <t>1220 Habilitation/Rehabilitation</t>
  </si>
  <si>
    <t>1230 Medical=</t>
  </si>
  <si>
    <t>1231 Other Medical (Dental, Dietary, OT, PT, Optometric, Pharmacy, Speech Pathology and Audiology</t>
  </si>
  <si>
    <t>1237 Physician Nursing Services</t>
  </si>
  <si>
    <t>1238 Psychiatric Services</t>
  </si>
  <si>
    <t>1290 Other</t>
  </si>
  <si>
    <t xml:space="preserve"> </t>
  </si>
  <si>
    <t>Total Prof. Fees and Contract Svcs.</t>
  </si>
  <si>
    <t>1300 Travel/Transportation</t>
  </si>
  <si>
    <t>1390 Other</t>
  </si>
  <si>
    <t>Total Travel/Transportation:</t>
  </si>
  <si>
    <t>1400 Supplies</t>
  </si>
  <si>
    <t>1440 Food</t>
  </si>
  <si>
    <t>1490 Other</t>
  </si>
  <si>
    <t>Total Supplies</t>
  </si>
  <si>
    <t>1500 Occupancy:</t>
  </si>
  <si>
    <t>1510 Rent of Space</t>
  </si>
  <si>
    <t>1520 Utilities and Telephone</t>
  </si>
  <si>
    <t>1590 Other</t>
  </si>
  <si>
    <t>Total Occupancy:</t>
  </si>
  <si>
    <t>1600 Equipment</t>
  </si>
  <si>
    <t>1700 Depreciation</t>
  </si>
  <si>
    <t>1710 Building</t>
  </si>
  <si>
    <t>1720 Equipment</t>
  </si>
  <si>
    <t>Total Depreciation</t>
  </si>
  <si>
    <t>1800 Miscellaneous</t>
  </si>
  <si>
    <t>1810 Clothing</t>
  </si>
  <si>
    <t>1860 Bad Debt</t>
  </si>
  <si>
    <t>1890 Other</t>
  </si>
  <si>
    <t>Total Miscellaneous</t>
  </si>
  <si>
    <t>Expenditures Subtotal</t>
  </si>
  <si>
    <t>Admin. and Support Allocation</t>
  </si>
  <si>
    <t>Total Expenditures</t>
  </si>
  <si>
    <t>Units by Payor Source</t>
  </si>
  <si>
    <t>Private Pay</t>
  </si>
  <si>
    <t>Other Insurance</t>
  </si>
  <si>
    <t>Title 19</t>
  </si>
  <si>
    <t>Contract</t>
  </si>
  <si>
    <t>Other Grants</t>
  </si>
  <si>
    <t>Other</t>
  </si>
  <si>
    <t>Total Units by Programs</t>
  </si>
  <si>
    <t>Cost per Unit</t>
  </si>
  <si>
    <t>State Paid</t>
  </si>
  <si>
    <t>Day unit</t>
  </si>
  <si>
    <t>Contract Exp.</t>
  </si>
  <si>
    <t>CYF/SED Individual - Model Summary</t>
  </si>
  <si>
    <t>Standard CYF/SED Individual Rate Calculation minus 1STD based on cost per unit</t>
  </si>
  <si>
    <t xml:space="preserve">Standard CYF/SED Individual Rate Calculation </t>
  </si>
  <si>
    <t>CYF Individual Services 1020Professional/Program Staff Personnel Expense</t>
  </si>
  <si>
    <t>Total CYF Individual Team Salaries</t>
  </si>
  <si>
    <t>x 14.61% Ben. &amp; Taxes</t>
  </si>
  <si>
    <t>x 14.88% Ben. &amp; Taxes</t>
  </si>
  <si>
    <t>Total CYF Individual Benefits and Taxes</t>
  </si>
  <si>
    <t>Total Direct CYF Individual Staff Salaries</t>
  </si>
  <si>
    <t>Total CYF Individual Team B&amp;T</t>
  </si>
  <si>
    <t>Total CYF Individual Team salary Cost (B&amp;T)</t>
  </si>
  <si>
    <t>Total CYF Individual Team salary cost (B&amp;T)</t>
  </si>
  <si>
    <t>Total Cost of CYF Individual Team divided by</t>
  </si>
  <si>
    <t>Daily CYF Individual Rate Calculation</t>
  </si>
  <si>
    <t>SB147 Y3 - CYF/SED</t>
  </si>
  <si>
    <t>CYF Individual Support</t>
  </si>
  <si>
    <t>2017 Data</t>
  </si>
  <si>
    <t>CYF Indvidual Services</t>
  </si>
  <si>
    <t>CYF Individual Services 1020 Professional/Program Staff Personnel Expense</t>
  </si>
  <si>
    <t>CYF Individual Services Total Personnel Expense</t>
  </si>
  <si>
    <t>CYF Individual services Benefits and Taxes</t>
  </si>
  <si>
    <t>CYF Individual Services 1020 Professional/Program Staff Personnel with Benefits and Taxes</t>
  </si>
  <si>
    <t>Total CYF Individual Services Expense</t>
  </si>
  <si>
    <t>CYF Individual services Direct Care Expense to Total CYF Individual services Expense</t>
  </si>
  <si>
    <t xml:space="preserve">1238 CYF Individual Services (Contracted) </t>
  </si>
  <si>
    <t>CYF/SED Group - Model Summary</t>
  </si>
  <si>
    <t>Standard CYF/SED Group Rate Calculation minus 1STD based on cost per unit</t>
  </si>
  <si>
    <t xml:space="preserve">Standard CYF/SED Group Rate Calculation </t>
  </si>
  <si>
    <t>CYF Group Services 1020 Professional/Program Staff Personnel Expense</t>
  </si>
  <si>
    <t>Total CYF Group Team Salaries</t>
  </si>
  <si>
    <t>x 16.10% Ben. &amp; Taxes</t>
  </si>
  <si>
    <t>Total CYF Group Benefits and Taxes</t>
  </si>
  <si>
    <t>Total CYF Group Team B&amp;T</t>
  </si>
  <si>
    <t>Total CYF Group Team salary Cost (B&amp;T)</t>
  </si>
  <si>
    <t>Total CYF Group Team salary cost (B&amp;T)</t>
  </si>
  <si>
    <t>Total Cost of CYF Group Team divided by</t>
  </si>
  <si>
    <t>Daily CYF Group Rate Calculation</t>
  </si>
  <si>
    <t>Excluded CACS &amp; LCBH</t>
  </si>
  <si>
    <t>CYF Group Support</t>
  </si>
  <si>
    <t>CYF Group Services</t>
  </si>
  <si>
    <t>CYF Group Services Total Personnel Expense</t>
  </si>
  <si>
    <t>CYF Group services Benefits and Taxes</t>
  </si>
  <si>
    <t>CYF Group Services 1020 Professional/Program Staff Personnel with Benefits and Taxes</t>
  </si>
  <si>
    <t>Total CYF Group Services Expense</t>
  </si>
  <si>
    <t>CYF Group services Direct Care Expense to Total Psychiatric services Expense</t>
  </si>
  <si>
    <t xml:space="preserve">1238 CYF Group Services (Contracted) </t>
  </si>
  <si>
    <t>December 10th, 2019</t>
  </si>
  <si>
    <t>SB147 Y2 - SUD</t>
  </si>
  <si>
    <t>Final Recommended Low Intensity Residential Services Model</t>
  </si>
  <si>
    <t xml:space="preserve"> All Providers Excluding BMS and VOA</t>
  </si>
  <si>
    <t>BMS and VOA Only</t>
  </si>
  <si>
    <t>Average Capacity (from survey results)</t>
  </si>
  <si>
    <t>Average Number of 24/7 Residential Workers (from survey results)</t>
  </si>
  <si>
    <t>Staffing Ratio (Beds per Residential Worker)</t>
  </si>
  <si>
    <t>Average Residential Worker Salary and B&amp;T</t>
  </si>
  <si>
    <t>Residential Worker Direct Care Hours per Year</t>
  </si>
  <si>
    <t>Equivalent Wage per hour</t>
  </si>
  <si>
    <t>Hours in Year (24 hours/day * 365 days/year)</t>
  </si>
  <si>
    <t>Yearly Expense for one 24/7 worker</t>
  </si>
  <si>
    <t>Yearly Expense for bed 24/7</t>
  </si>
  <si>
    <t>Daily Expense for one bed 24/7</t>
  </si>
  <si>
    <t>Percentage of R&amp;B to Total Cost (from 2017 Cost Reports)</t>
  </si>
  <si>
    <t>Percentage of Admin/Indirect/Other to Total Cost (from 2017 Cost Reports)</t>
  </si>
  <si>
    <t>R&amp;B Portion (20.6%/21.9% of Total Modeled Rate)</t>
  </si>
  <si>
    <t>Admin/Indirect/Other Portion (34.7%/21.9% of Total Modeled Rate)</t>
  </si>
  <si>
    <t>Indexed Modeled Non treatment 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</si>
</sst>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&quot;$&quot;* #,##0.000_);_(&quot;$&quot;* \(#,##0.0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3" tint="0.59999389629810485"/>
      <name val="Calibri"/>
      <family val="2"/>
      <scheme val="minor"/>
    </font>
    <font>
      <sz val="22"/>
      <color theme="0"/>
      <name val="Calibri"/>
      <family val="2"/>
      <scheme val="minor"/>
    </font>
    <font>
      <sz val="9"/>
      <name val="Arial"/>
      <family val="2"/>
    </font>
    <font>
      <sz val="16"/>
      <color theme="1"/>
      <name val="Calibri"/>
      <family val="2"/>
      <scheme val="minor"/>
    </font>
    <font>
      <sz val="18"/>
      <color theme="3" tint="0.59999389629810485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95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quotePrefix="1" applyFont="1"/>
    <xf numFmtId="0" fontId="7" fillId="0" borderId="0" xfId="0" quotePrefix="1" applyFont="1"/>
    <xf numFmtId="0" fontId="3" fillId="0" borderId="0" xfId="0" applyFont="1" applyBorder="1"/>
    <xf numFmtId="0" fontId="4" fillId="0" borderId="0" xfId="0" applyFont="1" applyBorder="1"/>
    <xf numFmtId="0" fontId="4" fillId="0" borderId="1" xfId="0" applyFont="1" applyBorder="1"/>
    <xf numFmtId="44" fontId="4" fillId="0" borderId="2" xfId="2" applyFont="1" applyFill="1" applyBorder="1"/>
    <xf numFmtId="0" fontId="4" fillId="2" borderId="3" xfId="0" applyFont="1" applyFill="1" applyBorder="1"/>
    <xf numFmtId="0" fontId="4" fillId="0" borderId="3" xfId="0" applyFont="1" applyBorder="1"/>
    <xf numFmtId="0" fontId="4" fillId="0" borderId="4" xfId="0" applyFont="1" applyBorder="1"/>
    <xf numFmtId="44" fontId="4" fillId="0" borderId="0" xfId="2" applyFont="1" applyFill="1" applyBorder="1"/>
    <xf numFmtId="0" fontId="4" fillId="2" borderId="5" xfId="0" applyFont="1" applyFill="1" applyBorder="1"/>
    <xf numFmtId="0" fontId="4" fillId="0" borderId="5" xfId="0" applyFont="1" applyBorder="1"/>
    <xf numFmtId="44" fontId="4" fillId="3" borderId="6" xfId="2" applyFont="1" applyFill="1" applyBorder="1"/>
    <xf numFmtId="44" fontId="4" fillId="3" borderId="0" xfId="2" applyFont="1" applyFill="1" applyBorder="1"/>
    <xf numFmtId="0" fontId="4" fillId="0" borderId="0" xfId="0" applyFont="1" applyFill="1" applyBorder="1"/>
    <xf numFmtId="9" fontId="4" fillId="0" borderId="0" xfId="3" applyFont="1" applyFill="1" applyBorder="1"/>
    <xf numFmtId="44" fontId="4" fillId="0" borderId="0" xfId="3" applyNumberFormat="1" applyFont="1" applyFill="1" applyBorder="1"/>
    <xf numFmtId="44" fontId="4" fillId="4" borderId="0" xfId="3" applyNumberFormat="1" applyFont="1" applyFill="1" applyBorder="1"/>
    <xf numFmtId="9" fontId="4" fillId="0" borderId="0" xfId="2" applyNumberFormat="1" applyFont="1" applyBorder="1"/>
    <xf numFmtId="9" fontId="4" fillId="5" borderId="0" xfId="2" applyNumberFormat="1" applyFont="1" applyFill="1" applyBorder="1"/>
    <xf numFmtId="9" fontId="4" fillId="0" borderId="5" xfId="0" applyNumberFormat="1" applyFont="1" applyBorder="1"/>
    <xf numFmtId="164" fontId="4" fillId="6" borderId="5" xfId="0" applyNumberFormat="1" applyFont="1" applyFill="1" applyBorder="1"/>
    <xf numFmtId="9" fontId="4" fillId="0" borderId="0" xfId="0" applyNumberFormat="1" applyFont="1" applyBorder="1"/>
    <xf numFmtId="0" fontId="4" fillId="0" borderId="2" xfId="0" applyFont="1" applyBorder="1"/>
    <xf numFmtId="1" fontId="4" fillId="0" borderId="0" xfId="0" applyNumberFormat="1" applyFont="1" applyBorder="1"/>
    <xf numFmtId="2" fontId="4" fillId="0" borderId="5" xfId="0" applyNumberFormat="1" applyFont="1" applyBorder="1"/>
    <xf numFmtId="164" fontId="4" fillId="0" borderId="5" xfId="0" applyNumberFormat="1" applyFont="1" applyBorder="1"/>
    <xf numFmtId="0" fontId="3" fillId="0" borderId="4" xfId="0" applyFont="1" applyBorder="1"/>
    <xf numFmtId="0" fontId="4" fillId="0" borderId="7" xfId="0" applyFont="1" applyBorder="1"/>
    <xf numFmtId="44" fontId="4" fillId="0" borderId="8" xfId="0" applyNumberFormat="1" applyFont="1" applyBorder="1"/>
    <xf numFmtId="44" fontId="4" fillId="0" borderId="9" xfId="0" applyNumberFormat="1" applyFont="1" applyBorder="1"/>
    <xf numFmtId="44" fontId="4" fillId="0" borderId="8" xfId="2" applyFont="1" applyBorder="1"/>
    <xf numFmtId="44" fontId="4" fillId="0" borderId="9" xfId="2" applyFont="1" applyBorder="1"/>
    <xf numFmtId="44" fontId="4" fillId="0" borderId="0" xfId="2" applyFont="1" applyBorder="1"/>
    <xf numFmtId="0" fontId="4" fillId="0" borderId="10" xfId="0" applyFont="1" applyBorder="1"/>
    <xf numFmtId="44" fontId="4" fillId="0" borderId="6" xfId="0" applyNumberFormat="1" applyFont="1" applyBorder="1"/>
    <xf numFmtId="44" fontId="4" fillId="0" borderId="11" xfId="0" applyNumberFormat="1" applyFont="1" applyBorder="1"/>
    <xf numFmtId="44" fontId="4" fillId="0" borderId="0" xfId="2" applyNumberFormat="1" applyFont="1" applyBorder="1"/>
    <xf numFmtId="44" fontId="4" fillId="0" borderId="5" xfId="2" applyNumberFormat="1" applyFont="1" applyBorder="1"/>
    <xf numFmtId="44" fontId="4" fillId="0" borderId="0" xfId="0" applyNumberFormat="1" applyFont="1" applyBorder="1"/>
    <xf numFmtId="44" fontId="4" fillId="0" borderId="5" xfId="0" applyNumberFormat="1" applyFont="1" applyBorder="1"/>
    <xf numFmtId="10" fontId="4" fillId="0" borderId="0" xfId="3" applyNumberFormat="1" applyFont="1" applyBorder="1"/>
    <xf numFmtId="10" fontId="4" fillId="0" borderId="5" xfId="3" applyNumberFormat="1" applyFont="1" applyBorder="1"/>
    <xf numFmtId="44" fontId="3" fillId="0" borderId="0" xfId="2" applyFont="1" applyBorder="1"/>
    <xf numFmtId="44" fontId="3" fillId="0" borderId="5" xfId="2" applyFont="1" applyBorder="1"/>
    <xf numFmtId="10" fontId="4" fillId="0" borderId="0" xfId="0" applyNumberFormat="1" applyFont="1" applyBorder="1"/>
    <xf numFmtId="10" fontId="4" fillId="0" borderId="5" xfId="0" applyNumberFormat="1" applyFont="1" applyBorder="1"/>
    <xf numFmtId="0" fontId="4" fillId="0" borderId="4" xfId="0" applyFont="1" applyFill="1" applyBorder="1"/>
    <xf numFmtId="0" fontId="4" fillId="0" borderId="12" xfId="0" applyFont="1" applyBorder="1"/>
    <xf numFmtId="44" fontId="3" fillId="0" borderId="13" xfId="2" applyFont="1" applyBorder="1"/>
    <xf numFmtId="0" fontId="4" fillId="0" borderId="14" xfId="0" applyFont="1" applyBorder="1"/>
    <xf numFmtId="0" fontId="4" fillId="0" borderId="12" xfId="0" applyFont="1" applyFill="1" applyBorder="1"/>
    <xf numFmtId="44" fontId="4" fillId="0" borderId="0" xfId="2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3" xfId="0" applyFont="1" applyBorder="1"/>
    <xf numFmtId="0" fontId="0" fillId="0" borderId="0" xfId="0" applyAlignment="1">
      <alignment wrapText="1"/>
    </xf>
    <xf numFmtId="44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15" xfId="0" applyFont="1" applyBorder="1"/>
    <xf numFmtId="44" fontId="4" fillId="0" borderId="16" xfId="0" applyNumberFormat="1" applyFont="1" applyBorder="1"/>
    <xf numFmtId="0" fontId="3" fillId="0" borderId="3" xfId="0" applyFont="1" applyBorder="1"/>
    <xf numFmtId="0" fontId="3" fillId="0" borderId="5" xfId="0" applyFont="1" applyBorder="1"/>
    <xf numFmtId="0" fontId="4" fillId="0" borderId="4" xfId="0" quotePrefix="1" applyFont="1" applyBorder="1"/>
    <xf numFmtId="0" fontId="3" fillId="0" borderId="5" xfId="0" applyFont="1" applyBorder="1" applyAlignment="1">
      <alignment horizontal="right"/>
    </xf>
    <xf numFmtId="0" fontId="4" fillId="0" borderId="17" xfId="0" applyFont="1" applyBorder="1"/>
    <xf numFmtId="9" fontId="4" fillId="0" borderId="18" xfId="0" applyNumberFormat="1" applyFont="1" applyBorder="1"/>
    <xf numFmtId="9" fontId="4" fillId="5" borderId="14" xfId="0" applyNumberFormat="1" applyFont="1" applyFill="1" applyBorder="1"/>
    <xf numFmtId="0" fontId="3" fillId="0" borderId="18" xfId="0" applyFont="1" applyBorder="1"/>
    <xf numFmtId="10" fontId="4" fillId="0" borderId="0" xfId="0" applyNumberFormat="1" applyFont="1"/>
    <xf numFmtId="1" fontId="3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4" fillId="5" borderId="0" xfId="0" applyFont="1" applyFill="1"/>
    <xf numFmtId="0" fontId="7" fillId="0" borderId="0" xfId="0" applyFont="1" applyFill="1"/>
    <xf numFmtId="0" fontId="8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quotePrefix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10" fillId="0" borderId="0" xfId="0" applyFont="1"/>
    <xf numFmtId="0" fontId="9" fillId="0" borderId="25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11" fillId="8" borderId="28" xfId="0" applyFont="1" applyFill="1" applyBorder="1"/>
    <xf numFmtId="0" fontId="11" fillId="8" borderId="0" xfId="0" applyFont="1" applyFill="1" applyBorder="1"/>
    <xf numFmtId="0" fontId="11" fillId="8" borderId="5" xfId="0" applyFont="1" applyFill="1" applyBorder="1"/>
    <xf numFmtId="0" fontId="12" fillId="8" borderId="0" xfId="0" applyFont="1" applyFill="1" applyBorder="1"/>
    <xf numFmtId="0" fontId="9" fillId="0" borderId="25" xfId="0" applyFont="1" applyFill="1" applyBorder="1" applyAlignment="1">
      <alignment wrapText="1"/>
    </xf>
    <xf numFmtId="44" fontId="9" fillId="0" borderId="29" xfId="2" applyFont="1" applyBorder="1"/>
    <xf numFmtId="44" fontId="9" fillId="0" borderId="30" xfId="2" applyFont="1" applyBorder="1"/>
    <xf numFmtId="44" fontId="9" fillId="0" borderId="31" xfId="2" applyFont="1" applyBorder="1"/>
    <xf numFmtId="44" fontId="9" fillId="0" borderId="32" xfId="2" applyFont="1" applyBorder="1"/>
    <xf numFmtId="9" fontId="9" fillId="0" borderId="25" xfId="3" applyFont="1" applyFill="1" applyBorder="1" applyAlignment="1">
      <alignment horizontal="left" wrapText="1"/>
    </xf>
    <xf numFmtId="9" fontId="9" fillId="0" borderId="31" xfId="3" applyFont="1" applyFill="1" applyBorder="1"/>
    <xf numFmtId="9" fontId="9" fillId="0" borderId="32" xfId="3" applyFont="1" applyFill="1" applyBorder="1"/>
    <xf numFmtId="49" fontId="9" fillId="0" borderId="25" xfId="2" applyNumberFormat="1" applyFont="1" applyFill="1" applyBorder="1" applyAlignment="1">
      <alignment wrapText="1"/>
    </xf>
    <xf numFmtId="165" fontId="9" fillId="0" borderId="31" xfId="2" applyNumberFormat="1" applyFont="1" applyBorder="1"/>
    <xf numFmtId="165" fontId="9" fillId="0" borderId="31" xfId="2" applyNumberFormat="1" applyFont="1" applyFill="1" applyBorder="1"/>
    <xf numFmtId="165" fontId="9" fillId="0" borderId="32" xfId="2" applyNumberFormat="1" applyFont="1" applyBorder="1"/>
    <xf numFmtId="49" fontId="9" fillId="0" borderId="25" xfId="2" applyNumberFormat="1" applyFont="1" applyFill="1" applyBorder="1" applyAlignment="1">
      <alignment horizontal="left" wrapText="1"/>
    </xf>
    <xf numFmtId="165" fontId="9" fillId="0" borderId="32" xfId="2" applyNumberFormat="1" applyFont="1" applyFill="1" applyBorder="1"/>
    <xf numFmtId="0" fontId="9" fillId="0" borderId="33" xfId="0" applyFont="1" applyBorder="1"/>
    <xf numFmtId="0" fontId="9" fillId="0" borderId="31" xfId="0" applyFont="1" applyBorder="1"/>
    <xf numFmtId="0" fontId="9" fillId="0" borderId="32" xfId="0" applyFont="1" applyBorder="1"/>
    <xf numFmtId="0" fontId="7" fillId="0" borderId="0" xfId="0" applyFont="1" applyBorder="1" applyAlignment="1">
      <alignment horizontal="left"/>
    </xf>
    <xf numFmtId="165" fontId="9" fillId="0" borderId="33" xfId="0" applyNumberFormat="1" applyFont="1" applyBorder="1" applyAlignment="1">
      <alignment wrapText="1"/>
    </xf>
    <xf numFmtId="165" fontId="9" fillId="0" borderId="31" xfId="0" applyNumberFormat="1" applyFont="1" applyBorder="1" applyAlignment="1">
      <alignment wrapText="1"/>
    </xf>
    <xf numFmtId="165" fontId="9" fillId="0" borderId="32" xfId="0" applyNumberFormat="1" applyFont="1" applyBorder="1" applyAlignment="1">
      <alignment wrapText="1"/>
    </xf>
    <xf numFmtId="0" fontId="9" fillId="0" borderId="0" xfId="0" applyFont="1"/>
    <xf numFmtId="0" fontId="7" fillId="0" borderId="34" xfId="0" applyFont="1" applyBorder="1" applyAlignment="1">
      <alignment horizontal="left"/>
    </xf>
    <xf numFmtId="49" fontId="8" fillId="9" borderId="25" xfId="2" applyNumberFormat="1" applyFont="1" applyFill="1" applyBorder="1" applyAlignment="1">
      <alignment wrapText="1"/>
    </xf>
    <xf numFmtId="10" fontId="9" fillId="9" borderId="33" xfId="3" applyNumberFormat="1" applyFont="1" applyFill="1" applyBorder="1" applyAlignment="1">
      <alignment horizontal="right"/>
    </xf>
    <xf numFmtId="10" fontId="9" fillId="9" borderId="31" xfId="3" applyNumberFormat="1" applyFont="1" applyFill="1" applyBorder="1" applyAlignment="1">
      <alignment horizontal="right"/>
    </xf>
    <xf numFmtId="10" fontId="9" fillId="9" borderId="32" xfId="3" applyNumberFormat="1" applyFont="1" applyFill="1" applyBorder="1" applyAlignment="1">
      <alignment horizontal="right"/>
    </xf>
    <xf numFmtId="164" fontId="9" fillId="9" borderId="35" xfId="3" applyNumberFormat="1" applyFont="1" applyFill="1" applyBorder="1"/>
    <xf numFmtId="10" fontId="9" fillId="0" borderId="0" xfId="0" applyNumberFormat="1" applyFont="1"/>
    <xf numFmtId="9" fontId="9" fillId="0" borderId="0" xfId="3" applyFont="1"/>
    <xf numFmtId="0" fontId="9" fillId="0" borderId="36" xfId="0" applyFont="1" applyBorder="1" applyAlignment="1">
      <alignment vertical="center"/>
    </xf>
    <xf numFmtId="165" fontId="9" fillId="0" borderId="37" xfId="2" applyNumberFormat="1" applyFont="1" applyBorder="1" applyAlignment="1">
      <alignment vertical="center" wrapText="1"/>
    </xf>
    <xf numFmtId="165" fontId="9" fillId="0" borderId="38" xfId="2" applyNumberFormat="1" applyFont="1" applyBorder="1" applyAlignment="1">
      <alignment vertical="center" wrapText="1"/>
    </xf>
    <xf numFmtId="165" fontId="9" fillId="0" borderId="39" xfId="2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0" fontId="7" fillId="0" borderId="0" xfId="0" applyFont="1" applyFill="1" applyBorder="1"/>
    <xf numFmtId="0" fontId="8" fillId="0" borderId="23" xfId="0" applyFont="1" applyBorder="1" applyAlignment="1">
      <alignment vertical="center"/>
    </xf>
    <xf numFmtId="165" fontId="9" fillId="0" borderId="20" xfId="2" applyNumberFormat="1" applyFont="1" applyBorder="1" applyAlignment="1">
      <alignment vertical="center" wrapText="1"/>
    </xf>
    <xf numFmtId="165" fontId="9" fillId="0" borderId="21" xfId="2" applyNumberFormat="1" applyFont="1" applyBorder="1" applyAlignment="1">
      <alignment vertical="center" wrapText="1"/>
    </xf>
    <xf numFmtId="165" fontId="9" fillId="0" borderId="40" xfId="2" applyNumberFormat="1" applyFont="1" applyBorder="1" applyAlignment="1">
      <alignment vertical="center" wrapText="1"/>
    </xf>
    <xf numFmtId="165" fontId="9" fillId="0" borderId="23" xfId="2" applyNumberFormat="1" applyFont="1" applyBorder="1" applyAlignment="1">
      <alignment vertical="center" wrapText="1"/>
    </xf>
    <xf numFmtId="44" fontId="9" fillId="0" borderId="0" xfId="2" applyFont="1"/>
    <xf numFmtId="165" fontId="9" fillId="0" borderId="0" xfId="0" applyNumberFormat="1" applyFont="1"/>
    <xf numFmtId="0" fontId="9" fillId="0" borderId="28" xfId="0" applyFont="1" applyBorder="1" applyAlignment="1">
      <alignment vertical="center"/>
    </xf>
    <xf numFmtId="165" fontId="9" fillId="0" borderId="41" xfId="2" applyNumberFormat="1" applyFont="1" applyBorder="1" applyAlignment="1">
      <alignment vertical="center" wrapText="1"/>
    </xf>
    <xf numFmtId="165" fontId="9" fillId="0" borderId="42" xfId="2" applyNumberFormat="1" applyFont="1" applyBorder="1" applyAlignment="1">
      <alignment vertical="center" wrapText="1"/>
    </xf>
    <xf numFmtId="165" fontId="9" fillId="0" borderId="43" xfId="2" applyNumberFormat="1" applyFont="1" applyBorder="1" applyAlignment="1">
      <alignment vertical="center" wrapText="1"/>
    </xf>
    <xf numFmtId="165" fontId="9" fillId="0" borderId="5" xfId="2" applyNumberFormat="1" applyFont="1" applyBorder="1" applyAlignment="1">
      <alignment vertical="center" wrapText="1"/>
    </xf>
    <xf numFmtId="165" fontId="9" fillId="0" borderId="28" xfId="2" applyNumberFormat="1" applyFont="1" applyBorder="1" applyAlignment="1">
      <alignment vertical="center" wrapText="1"/>
    </xf>
    <xf numFmtId="0" fontId="8" fillId="9" borderId="23" xfId="0" applyFont="1" applyFill="1" applyBorder="1" applyAlignment="1">
      <alignment vertical="center"/>
    </xf>
    <xf numFmtId="165" fontId="9" fillId="9" borderId="20" xfId="2" applyNumberFormat="1" applyFont="1" applyFill="1" applyBorder="1" applyAlignment="1">
      <alignment vertical="center"/>
    </xf>
    <xf numFmtId="165" fontId="9" fillId="9" borderId="21" xfId="2" applyNumberFormat="1" applyFont="1" applyFill="1" applyBorder="1" applyAlignment="1">
      <alignment vertical="center"/>
    </xf>
    <xf numFmtId="165" fontId="9" fillId="9" borderId="16" xfId="2" applyNumberFormat="1" applyFont="1" applyFill="1" applyBorder="1" applyAlignment="1">
      <alignment vertical="center" wrapText="1"/>
    </xf>
    <xf numFmtId="165" fontId="9" fillId="9" borderId="23" xfId="2" applyNumberFormat="1" applyFont="1" applyFill="1" applyBorder="1" applyAlignment="1">
      <alignment vertical="center" wrapText="1"/>
    </xf>
    <xf numFmtId="165" fontId="9" fillId="0" borderId="41" xfId="2" applyNumberFormat="1" applyFont="1" applyBorder="1" applyAlignment="1">
      <alignment vertical="center"/>
    </xf>
    <xf numFmtId="165" fontId="9" fillId="0" borderId="42" xfId="2" applyNumberFormat="1" applyFont="1" applyBorder="1" applyAlignment="1">
      <alignment vertical="center"/>
    </xf>
    <xf numFmtId="165" fontId="9" fillId="0" borderId="43" xfId="2" applyNumberFormat="1" applyFont="1" applyBorder="1" applyAlignment="1">
      <alignment vertical="center"/>
    </xf>
    <xf numFmtId="44" fontId="7" fillId="7" borderId="5" xfId="0" applyNumberFormat="1" applyFont="1" applyFill="1" applyBorder="1" applyAlignment="1">
      <alignment horizontal="right" vertical="center"/>
    </xf>
    <xf numFmtId="10" fontId="8" fillId="0" borderId="23" xfId="3" applyNumberFormat="1" applyFont="1" applyBorder="1" applyAlignment="1">
      <alignment wrapText="1"/>
    </xf>
    <xf numFmtId="10" fontId="9" fillId="0" borderId="20" xfId="3" applyNumberFormat="1" applyFont="1" applyBorder="1" applyAlignment="1">
      <alignment wrapText="1"/>
    </xf>
    <xf numFmtId="10" fontId="9" fillId="0" borderId="21" xfId="3" applyNumberFormat="1" applyFont="1" applyBorder="1" applyAlignment="1">
      <alignment wrapText="1"/>
    </xf>
    <xf numFmtId="10" fontId="9" fillId="0" borderId="40" xfId="3" applyNumberFormat="1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164" fontId="7" fillId="7" borderId="5" xfId="3" applyNumberFormat="1" applyFont="1" applyFill="1" applyBorder="1" applyAlignment="1">
      <alignment horizontal="right"/>
    </xf>
    <xf numFmtId="0" fontId="8" fillId="9" borderId="23" xfId="0" applyFont="1" applyFill="1" applyBorder="1" applyAlignment="1">
      <alignment wrapText="1"/>
    </xf>
    <xf numFmtId="165" fontId="9" fillId="9" borderId="20" xfId="0" applyNumberFormat="1" applyFont="1" applyFill="1" applyBorder="1" applyAlignment="1">
      <alignment wrapText="1"/>
    </xf>
    <xf numFmtId="165" fontId="9" fillId="9" borderId="21" xfId="0" applyNumberFormat="1" applyFont="1" applyFill="1" applyBorder="1" applyAlignment="1">
      <alignment wrapText="1"/>
    </xf>
    <xf numFmtId="165" fontId="9" fillId="9" borderId="16" xfId="0" applyNumberFormat="1" applyFont="1" applyFill="1" applyBorder="1" applyAlignment="1">
      <alignment wrapText="1"/>
    </xf>
    <xf numFmtId="164" fontId="7" fillId="7" borderId="28" xfId="3" applyNumberFormat="1" applyFont="1" applyFill="1" applyBorder="1" applyAlignment="1">
      <alignment horizontal="right"/>
    </xf>
    <xf numFmtId="165" fontId="9" fillId="4" borderId="0" xfId="0" applyNumberFormat="1" applyFont="1" applyFill="1"/>
    <xf numFmtId="165" fontId="9" fillId="0" borderId="41" xfId="0" applyNumberFormat="1" applyFont="1" applyFill="1" applyBorder="1" applyAlignment="1">
      <alignment wrapText="1"/>
    </xf>
    <xf numFmtId="165" fontId="9" fillId="0" borderId="42" xfId="0" applyNumberFormat="1" applyFont="1" applyFill="1" applyBorder="1" applyAlignment="1">
      <alignment wrapText="1"/>
    </xf>
    <xf numFmtId="165" fontId="9" fillId="0" borderId="43" xfId="0" applyNumberFormat="1" applyFont="1" applyFill="1" applyBorder="1" applyAlignment="1">
      <alignment wrapText="1"/>
    </xf>
    <xf numFmtId="165" fontId="9" fillId="0" borderId="5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44" fontId="8" fillId="0" borderId="23" xfId="2" applyFont="1" applyBorder="1" applyAlignment="1">
      <alignment wrapText="1"/>
    </xf>
    <xf numFmtId="165" fontId="9" fillId="0" borderId="20" xfId="2" applyNumberFormat="1" applyFont="1" applyBorder="1" applyAlignment="1">
      <alignment wrapText="1"/>
    </xf>
    <xf numFmtId="165" fontId="9" fillId="0" borderId="21" xfId="2" applyNumberFormat="1" applyFont="1" applyBorder="1" applyAlignment="1">
      <alignment wrapText="1"/>
    </xf>
    <xf numFmtId="165" fontId="9" fillId="0" borderId="40" xfId="2" applyNumberFormat="1" applyFont="1" applyBorder="1" applyAlignment="1">
      <alignment wrapText="1"/>
    </xf>
    <xf numFmtId="165" fontId="9" fillId="0" borderId="16" xfId="2" applyNumberFormat="1" applyFont="1" applyBorder="1" applyAlignment="1">
      <alignment wrapText="1"/>
    </xf>
    <xf numFmtId="165" fontId="9" fillId="3" borderId="16" xfId="2" applyNumberFormat="1" applyFont="1" applyFill="1" applyBorder="1" applyAlignment="1">
      <alignment wrapText="1"/>
    </xf>
    <xf numFmtId="44" fontId="8" fillId="0" borderId="28" xfId="2" applyFont="1" applyBorder="1" applyAlignment="1">
      <alignment wrapText="1"/>
    </xf>
    <xf numFmtId="165" fontId="9" fillId="0" borderId="41" xfId="2" applyNumberFormat="1" applyFont="1" applyBorder="1" applyAlignment="1">
      <alignment wrapText="1"/>
    </xf>
    <xf numFmtId="165" fontId="9" fillId="0" borderId="42" xfId="2" applyNumberFormat="1" applyFont="1" applyBorder="1" applyAlignment="1">
      <alignment wrapText="1"/>
    </xf>
    <xf numFmtId="165" fontId="9" fillId="0" borderId="43" xfId="2" applyNumberFormat="1" applyFont="1" applyBorder="1" applyAlignment="1">
      <alignment wrapText="1"/>
    </xf>
    <xf numFmtId="165" fontId="9" fillId="0" borderId="5" xfId="2" applyNumberFormat="1" applyFont="1" applyBorder="1" applyAlignment="1">
      <alignment wrapText="1"/>
    </xf>
    <xf numFmtId="165" fontId="9" fillId="0" borderId="0" xfId="2" applyNumberFormat="1" applyFont="1" applyBorder="1" applyAlignment="1">
      <alignment wrapText="1"/>
    </xf>
    <xf numFmtId="10" fontId="9" fillId="0" borderId="41" xfId="3" applyNumberFormat="1" applyFont="1" applyBorder="1" applyAlignment="1">
      <alignment wrapText="1"/>
    </xf>
    <xf numFmtId="10" fontId="9" fillId="0" borderId="0" xfId="3" applyNumberFormat="1" applyFont="1" applyBorder="1" applyAlignment="1">
      <alignment wrapText="1"/>
    </xf>
    <xf numFmtId="10" fontId="9" fillId="0" borderId="0" xfId="3" applyNumberFormat="1" applyFont="1"/>
    <xf numFmtId="10" fontId="9" fillId="9" borderId="20" xfId="3" applyNumberFormat="1" applyFont="1" applyFill="1" applyBorder="1" applyAlignment="1">
      <alignment wrapText="1"/>
    </xf>
    <xf numFmtId="10" fontId="9" fillId="9" borderId="21" xfId="3" applyNumberFormat="1" applyFont="1" applyFill="1" applyBorder="1" applyAlignment="1">
      <alignment wrapText="1"/>
    </xf>
    <xf numFmtId="10" fontId="9" fillId="9" borderId="40" xfId="3" applyNumberFormat="1" applyFont="1" applyFill="1" applyBorder="1" applyAlignment="1">
      <alignment wrapText="1"/>
    </xf>
    <xf numFmtId="0" fontId="9" fillId="9" borderId="16" xfId="0" applyFont="1" applyFill="1" applyBorder="1" applyAlignment="1">
      <alignment wrapText="1"/>
    </xf>
    <xf numFmtId="10" fontId="9" fillId="9" borderId="16" xfId="0" applyNumberFormat="1" applyFont="1" applyFill="1" applyBorder="1" applyAlignment="1">
      <alignment wrapText="1"/>
    </xf>
    <xf numFmtId="0" fontId="9" fillId="0" borderId="44" xfId="0" applyFont="1" applyBorder="1" applyAlignment="1">
      <alignment wrapText="1"/>
    </xf>
    <xf numFmtId="44" fontId="9" fillId="0" borderId="45" xfId="2" applyFont="1" applyBorder="1" applyAlignment="1">
      <alignment wrapText="1"/>
    </xf>
    <xf numFmtId="44" fontId="9" fillId="0" borderId="46" xfId="2" applyFont="1" applyBorder="1" applyAlignment="1">
      <alignment wrapText="1"/>
    </xf>
    <xf numFmtId="44" fontId="9" fillId="0" borderId="47" xfId="2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6" xfId="0" applyFont="1" applyBorder="1" applyAlignment="1">
      <alignment wrapText="1"/>
    </xf>
    <xf numFmtId="44" fontId="9" fillId="0" borderId="33" xfId="2" applyFont="1" applyBorder="1" applyAlignment="1">
      <alignment wrapText="1"/>
    </xf>
    <xf numFmtId="44" fontId="9" fillId="0" borderId="31" xfId="2" applyFont="1" applyBorder="1" applyAlignment="1">
      <alignment wrapText="1"/>
    </xf>
    <xf numFmtId="44" fontId="9" fillId="0" borderId="32" xfId="2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34" xfId="0" applyFont="1" applyBorder="1"/>
    <xf numFmtId="0" fontId="8" fillId="0" borderId="25" xfId="0" applyFont="1" applyFill="1" applyBorder="1"/>
    <xf numFmtId="166" fontId="9" fillId="0" borderId="33" xfId="0" applyNumberFormat="1" applyFont="1" applyBorder="1"/>
    <xf numFmtId="166" fontId="9" fillId="0" borderId="31" xfId="0" applyNumberFormat="1" applyFont="1" applyBorder="1"/>
    <xf numFmtId="166" fontId="9" fillId="0" borderId="32" xfId="0" applyNumberFormat="1" applyFont="1" applyBorder="1"/>
    <xf numFmtId="166" fontId="9" fillId="0" borderId="5" xfId="0" applyNumberFormat="1" applyFont="1" applyBorder="1"/>
    <xf numFmtId="166" fontId="9" fillId="0" borderId="0" xfId="0" applyNumberFormat="1" applyFont="1" applyBorder="1"/>
    <xf numFmtId="0" fontId="9" fillId="9" borderId="25" xfId="0" applyFont="1" applyFill="1" applyBorder="1" applyAlignment="1">
      <alignment wrapText="1"/>
    </xf>
    <xf numFmtId="44" fontId="9" fillId="9" borderId="33" xfId="0" applyNumberFormat="1" applyFont="1" applyFill="1" applyBorder="1" applyAlignment="1">
      <alignment horizontal="right"/>
    </xf>
    <xf numFmtId="44" fontId="9" fillId="9" borderId="31" xfId="0" applyNumberFormat="1" applyFont="1" applyFill="1" applyBorder="1" applyAlignment="1">
      <alignment horizontal="right"/>
    </xf>
    <xf numFmtId="44" fontId="9" fillId="9" borderId="32" xfId="2" applyFont="1" applyFill="1" applyBorder="1" applyAlignment="1">
      <alignment horizontal="right"/>
    </xf>
    <xf numFmtId="166" fontId="9" fillId="9" borderId="48" xfId="0" applyNumberFormat="1" applyFont="1" applyFill="1" applyBorder="1"/>
    <xf numFmtId="44" fontId="9" fillId="9" borderId="35" xfId="2" applyFont="1" applyFill="1" applyBorder="1"/>
    <xf numFmtId="44" fontId="7" fillId="7" borderId="28" xfId="0" applyNumberFormat="1" applyFont="1" applyFill="1" applyBorder="1" applyAlignment="1">
      <alignment horizontal="right"/>
    </xf>
    <xf numFmtId="44" fontId="0" fillId="0" borderId="0" xfId="0" applyNumberFormat="1"/>
    <xf numFmtId="44" fontId="9" fillId="0" borderId="35" xfId="2" applyFont="1" applyBorder="1"/>
    <xf numFmtId="44" fontId="9" fillId="0" borderId="33" xfId="0" applyNumberFormat="1" applyFont="1" applyFill="1" applyBorder="1" applyAlignment="1">
      <alignment horizontal="right"/>
    </xf>
    <xf numFmtId="44" fontId="9" fillId="0" borderId="31" xfId="0" applyNumberFormat="1" applyFont="1" applyFill="1" applyBorder="1" applyAlignment="1">
      <alignment horizontal="right"/>
    </xf>
    <xf numFmtId="44" fontId="9" fillId="0" borderId="32" xfId="0" applyNumberFormat="1" applyFont="1" applyFill="1" applyBorder="1" applyAlignment="1">
      <alignment horizontal="right"/>
    </xf>
    <xf numFmtId="44" fontId="9" fillId="0" borderId="48" xfId="0" applyNumberFormat="1" applyFont="1" applyFill="1" applyBorder="1" applyAlignment="1">
      <alignment horizontal="right"/>
    </xf>
    <xf numFmtId="44" fontId="9" fillId="0" borderId="49" xfId="0" applyNumberFormat="1" applyFont="1" applyFill="1" applyBorder="1" applyAlignment="1">
      <alignment horizontal="right"/>
    </xf>
    <xf numFmtId="44" fontId="9" fillId="0" borderId="50" xfId="0" applyNumberFormat="1" applyFont="1" applyFill="1" applyBorder="1" applyAlignment="1">
      <alignment horizontal="right"/>
    </xf>
    <xf numFmtId="44" fontId="9" fillId="0" borderId="51" xfId="0" applyNumberFormat="1" applyFont="1" applyFill="1" applyBorder="1" applyAlignment="1">
      <alignment horizontal="right"/>
    </xf>
    <xf numFmtId="44" fontId="9" fillId="10" borderId="52" xfId="0" applyNumberFormat="1" applyFont="1" applyFill="1" applyBorder="1" applyAlignment="1">
      <alignment horizontal="right"/>
    </xf>
    <xf numFmtId="44" fontId="9" fillId="10" borderId="53" xfId="0" applyNumberFormat="1" applyFont="1" applyFill="1" applyBorder="1" applyAlignment="1">
      <alignment horizontal="right"/>
    </xf>
    <xf numFmtId="0" fontId="8" fillId="0" borderId="54" xfId="0" applyFont="1" applyBorder="1" applyAlignment="1">
      <alignment horizontal="center"/>
    </xf>
    <xf numFmtId="0" fontId="9" fillId="0" borderId="44" xfId="0" applyFont="1" applyFill="1" applyBorder="1" applyAlignment="1">
      <alignment wrapText="1"/>
    </xf>
    <xf numFmtId="44" fontId="9" fillId="0" borderId="6" xfId="0" applyNumberFormat="1" applyFont="1" applyFill="1" applyBorder="1" applyAlignment="1">
      <alignment horizontal="right"/>
    </xf>
    <xf numFmtId="44" fontId="9" fillId="0" borderId="46" xfId="0" applyNumberFormat="1" applyFont="1" applyFill="1" applyBorder="1" applyAlignment="1">
      <alignment horizontal="right"/>
    </xf>
    <xf numFmtId="44" fontId="9" fillId="0" borderId="55" xfId="0" applyNumberFormat="1" applyFont="1" applyFill="1" applyBorder="1" applyAlignment="1">
      <alignment horizontal="right"/>
    </xf>
    <xf numFmtId="44" fontId="9" fillId="0" borderId="44" xfId="0" applyNumberFormat="1" applyFont="1" applyBorder="1"/>
    <xf numFmtId="44" fontId="9" fillId="0" borderId="19" xfId="0" applyNumberFormat="1" applyFont="1" applyBorder="1"/>
    <xf numFmtId="44" fontId="9" fillId="0" borderId="56" xfId="0" applyNumberFormat="1" applyFont="1" applyFill="1" applyBorder="1" applyAlignment="1">
      <alignment horizontal="right"/>
    </xf>
    <xf numFmtId="44" fontId="9" fillId="0" borderId="57" xfId="0" applyNumberFormat="1" applyFont="1" applyFill="1" applyBorder="1" applyAlignment="1">
      <alignment horizontal="right"/>
    </xf>
    <xf numFmtId="44" fontId="9" fillId="0" borderId="58" xfId="0" applyNumberFormat="1" applyFont="1" applyFill="1" applyBorder="1" applyAlignment="1">
      <alignment horizontal="right"/>
    </xf>
    <xf numFmtId="44" fontId="9" fillId="0" borderId="59" xfId="0" applyNumberFormat="1" applyFont="1" applyBorder="1"/>
    <xf numFmtId="44" fontId="9" fillId="0" borderId="60" xfId="0" applyNumberFormat="1" applyFont="1" applyBorder="1"/>
    <xf numFmtId="0" fontId="9" fillId="0" borderId="61" xfId="0" applyFont="1" applyFill="1" applyBorder="1" applyAlignment="1">
      <alignment wrapText="1"/>
    </xf>
    <xf numFmtId="44" fontId="9" fillId="0" borderId="13" xfId="0" applyNumberFormat="1" applyFont="1" applyFill="1" applyBorder="1" applyAlignment="1">
      <alignment horizontal="right"/>
    </xf>
    <xf numFmtId="44" fontId="9" fillId="0" borderId="62" xfId="0" applyNumberFormat="1" applyFont="1" applyFill="1" applyBorder="1" applyAlignment="1">
      <alignment horizontal="right"/>
    </xf>
    <xf numFmtId="44" fontId="9" fillId="0" borderId="63" xfId="0" applyNumberFormat="1" applyFont="1" applyFill="1" applyBorder="1" applyAlignment="1">
      <alignment horizontal="right"/>
    </xf>
    <xf numFmtId="44" fontId="9" fillId="0" borderId="64" xfId="0" applyNumberFormat="1" applyFont="1" applyBorder="1"/>
    <xf numFmtId="44" fontId="9" fillId="0" borderId="64" xfId="0" applyNumberFormat="1" applyFont="1" applyFill="1" applyBorder="1" applyAlignment="1">
      <alignment horizontal="right"/>
    </xf>
    <xf numFmtId="44" fontId="7" fillId="7" borderId="64" xfId="0" applyNumberFormat="1" applyFont="1" applyFill="1" applyBorder="1" applyAlignment="1">
      <alignment horizontal="right"/>
    </xf>
    <xf numFmtId="0" fontId="0" fillId="11" borderId="0" xfId="0" applyFill="1"/>
    <xf numFmtId="10" fontId="0" fillId="0" borderId="0" xfId="0" applyNumberFormat="1"/>
    <xf numFmtId="3" fontId="13" fillId="0" borderId="0" xfId="0" applyNumberFormat="1" applyFont="1" applyBorder="1" applyProtection="1"/>
    <xf numFmtId="0" fontId="0" fillId="0" borderId="0" xfId="0" applyFont="1" applyFill="1"/>
    <xf numFmtId="3" fontId="13" fillId="0" borderId="0" xfId="0" applyNumberFormat="1" applyFont="1" applyBorder="1" applyAlignment="1" applyProtection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166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4" fontId="0" fillId="0" borderId="0" xfId="3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6" fontId="0" fillId="0" borderId="0" xfId="1" applyNumberFormat="1" applyFont="1" applyFill="1" applyBorder="1" applyAlignment="1">
      <alignment wrapText="1"/>
    </xf>
    <xf numFmtId="164" fontId="1" fillId="0" borderId="0" xfId="3" applyNumberFormat="1" applyFont="1" applyFill="1" applyBorder="1"/>
    <xf numFmtId="44" fontId="0" fillId="0" borderId="0" xfId="2" applyFont="1" applyFill="1" applyBorder="1" applyAlignment="1">
      <alignment wrapText="1"/>
    </xf>
    <xf numFmtId="44" fontId="0" fillId="0" borderId="0" xfId="0" applyNumberFormat="1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9" fontId="0" fillId="0" borderId="0" xfId="3" applyFont="1" applyFill="1" applyBorder="1"/>
    <xf numFmtId="44" fontId="0" fillId="0" borderId="0" xfId="2" applyFont="1" applyFill="1" applyBorder="1"/>
    <xf numFmtId="44" fontId="0" fillId="0" borderId="0" xfId="0" applyNumberFormat="1" applyFill="1" applyBorder="1" applyAlignment="1">
      <alignment horizontal="right"/>
    </xf>
    <xf numFmtId="0" fontId="2" fillId="0" borderId="0" xfId="0" applyFont="1" applyFill="1" applyBorder="1"/>
    <xf numFmtId="43" fontId="0" fillId="0" borderId="0" xfId="0" applyNumberFormat="1" applyFill="1" applyBorder="1"/>
    <xf numFmtId="44" fontId="0" fillId="0" borderId="0" xfId="2" applyFont="1" applyFill="1" applyBorder="1" applyAlignment="1">
      <alignment horizontal="right"/>
    </xf>
    <xf numFmtId="0" fontId="14" fillId="0" borderId="0" xfId="0" applyFont="1"/>
    <xf numFmtId="0" fontId="4" fillId="0" borderId="66" xfId="0" applyFont="1" applyBorder="1"/>
    <xf numFmtId="0" fontId="4" fillId="0" borderId="68" xfId="0" applyFont="1" applyBorder="1"/>
    <xf numFmtId="44" fontId="4" fillId="2" borderId="70" xfId="2" applyFont="1" applyFill="1" applyBorder="1"/>
    <xf numFmtId="44" fontId="4" fillId="0" borderId="68" xfId="2" applyFont="1" applyBorder="1"/>
    <xf numFmtId="44" fontId="4" fillId="0" borderId="70" xfId="2" applyFont="1" applyBorder="1"/>
    <xf numFmtId="0" fontId="4" fillId="0" borderId="71" xfId="0" applyFont="1" applyBorder="1" applyAlignment="1">
      <alignment wrapText="1"/>
    </xf>
    <xf numFmtId="0" fontId="4" fillId="0" borderId="72" xfId="0" applyFont="1" applyBorder="1"/>
    <xf numFmtId="0" fontId="4" fillId="0" borderId="65" xfId="0" applyFont="1" applyBorder="1" applyAlignment="1">
      <alignment wrapText="1"/>
    </xf>
    <xf numFmtId="44" fontId="4" fillId="0" borderId="66" xfId="2" applyFont="1" applyBorder="1"/>
    <xf numFmtId="0" fontId="4" fillId="0" borderId="67" xfId="0" applyFont="1" applyBorder="1" applyAlignment="1">
      <alignment wrapText="1"/>
    </xf>
    <xf numFmtId="10" fontId="4" fillId="5" borderId="68" xfId="2" applyNumberFormat="1" applyFont="1" applyFill="1" applyBorder="1"/>
    <xf numFmtId="0" fontId="4" fillId="0" borderId="73" xfId="0" applyFont="1" applyBorder="1" applyAlignment="1">
      <alignment wrapText="1"/>
    </xf>
    <xf numFmtId="10" fontId="4" fillId="0" borderId="74" xfId="3" applyNumberFormat="1" applyFont="1" applyBorder="1" applyAlignment="1">
      <alignment wrapText="1"/>
    </xf>
    <xf numFmtId="10" fontId="4" fillId="0" borderId="68" xfId="2" applyNumberFormat="1" applyFont="1" applyBorder="1"/>
    <xf numFmtId="0" fontId="4" fillId="0" borderId="69" xfId="0" applyFont="1" applyBorder="1" applyAlignment="1">
      <alignment wrapText="1"/>
    </xf>
    <xf numFmtId="44" fontId="4" fillId="0" borderId="70" xfId="0" applyNumberFormat="1" applyFont="1" applyBorder="1"/>
    <xf numFmtId="44" fontId="4" fillId="0" borderId="66" xfId="0" applyNumberFormat="1" applyFont="1" applyBorder="1"/>
    <xf numFmtId="44" fontId="4" fillId="0" borderId="68" xfId="0" applyNumberFormat="1" applyFont="1" applyBorder="1"/>
    <xf numFmtId="10" fontId="4" fillId="12" borderId="75" xfId="0" applyNumberFormat="1" applyFont="1" applyFill="1" applyBorder="1"/>
    <xf numFmtId="10" fontId="4" fillId="0" borderId="75" xfId="3" applyNumberFormat="1" applyFont="1" applyBorder="1" applyAlignment="1">
      <alignment wrapText="1"/>
    </xf>
    <xf numFmtId="10" fontId="4" fillId="0" borderId="54" xfId="0" applyNumberFormat="1" applyFont="1" applyBorder="1"/>
    <xf numFmtId="44" fontId="4" fillId="0" borderId="76" xfId="0" applyNumberFormat="1" applyFont="1" applyBorder="1"/>
    <xf numFmtId="10" fontId="4" fillId="0" borderId="68" xfId="0" applyNumberFormat="1" applyFont="1" applyBorder="1"/>
    <xf numFmtId="0" fontId="4" fillId="0" borderId="28" xfId="0" applyFont="1" applyBorder="1"/>
    <xf numFmtId="0" fontId="4" fillId="0" borderId="77" xfId="0" applyFont="1" applyBorder="1" applyAlignment="1">
      <alignment wrapText="1"/>
    </xf>
    <xf numFmtId="44" fontId="4" fillId="0" borderId="78" xfId="2" applyFont="1" applyBorder="1"/>
    <xf numFmtId="10" fontId="4" fillId="3" borderId="28" xfId="0" applyNumberFormat="1" applyFont="1" applyFill="1" applyBorder="1"/>
    <xf numFmtId="10" fontId="4" fillId="0" borderId="76" xfId="3" applyNumberFormat="1" applyFont="1" applyBorder="1"/>
    <xf numFmtId="10" fontId="4" fillId="0" borderId="28" xfId="0" applyNumberFormat="1" applyFont="1" applyBorder="1"/>
    <xf numFmtId="44" fontId="4" fillId="0" borderId="79" xfId="0" applyNumberFormat="1" applyFont="1" applyBorder="1"/>
    <xf numFmtId="10" fontId="4" fillId="0" borderId="78" xfId="0" applyNumberFormat="1" applyFont="1" applyBorder="1"/>
    <xf numFmtId="164" fontId="4" fillId="0" borderId="28" xfId="0" applyNumberFormat="1" applyFont="1" applyBorder="1"/>
    <xf numFmtId="10" fontId="4" fillId="0" borderId="80" xfId="0" applyNumberFormat="1" applyFont="1" applyBorder="1"/>
    <xf numFmtId="44" fontId="4" fillId="0" borderId="81" xfId="0" applyNumberFormat="1" applyFont="1" applyBorder="1"/>
    <xf numFmtId="10" fontId="4" fillId="0" borderId="64" xfId="0" applyNumberFormat="1" applyFont="1" applyBorder="1"/>
    <xf numFmtId="164" fontId="4" fillId="0" borderId="0" xfId="0" applyNumberFormat="1" applyFont="1" applyBorder="1"/>
    <xf numFmtId="1" fontId="4" fillId="0" borderId="5" xfId="0" applyNumberFormat="1" applyFont="1" applyBorder="1"/>
    <xf numFmtId="1" fontId="4" fillId="0" borderId="68" xfId="0" applyNumberFormat="1" applyFont="1" applyBorder="1"/>
    <xf numFmtId="0" fontId="4" fillId="0" borderId="12" xfId="0" applyFont="1" applyBorder="1" applyAlignment="1">
      <alignment wrapText="1"/>
    </xf>
    <xf numFmtId="44" fontId="4" fillId="0" borderId="14" xfId="2" applyFont="1" applyBorder="1"/>
    <xf numFmtId="10" fontId="4" fillId="0" borderId="12" xfId="0" applyNumberFormat="1" applyFont="1" applyBorder="1" applyAlignment="1">
      <alignment wrapText="1"/>
    </xf>
    <xf numFmtId="44" fontId="4" fillId="0" borderId="14" xfId="0" applyNumberFormat="1" applyFont="1" applyBorder="1"/>
    <xf numFmtId="0" fontId="4" fillId="0" borderId="15" xfId="0" applyFont="1" applyBorder="1" applyAlignment="1">
      <alignment wrapText="1"/>
    </xf>
    <xf numFmtId="0" fontId="4" fillId="0" borderId="16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4" fontId="4" fillId="0" borderId="3" xfId="0" applyNumberFormat="1" applyFont="1" applyBorder="1"/>
    <xf numFmtId="0" fontId="4" fillId="0" borderId="71" xfId="0" applyFont="1" applyBorder="1"/>
    <xf numFmtId="0" fontId="4" fillId="0" borderId="65" xfId="0" applyFont="1" applyBorder="1"/>
    <xf numFmtId="10" fontId="4" fillId="0" borderId="0" xfId="2" applyNumberFormat="1" applyFont="1" applyBorder="1"/>
    <xf numFmtId="0" fontId="4" fillId="0" borderId="67" xfId="0" applyFont="1" applyBorder="1"/>
    <xf numFmtId="0" fontId="4" fillId="0" borderId="69" xfId="0" applyFont="1" applyBorder="1"/>
    <xf numFmtId="10" fontId="4" fillId="12" borderId="68" xfId="0" applyNumberFormat="1" applyFont="1" applyFill="1" applyBorder="1"/>
    <xf numFmtId="44" fontId="4" fillId="0" borderId="5" xfId="2" applyFont="1" applyBorder="1"/>
    <xf numFmtId="0" fontId="4" fillId="0" borderId="77" xfId="0" applyFont="1" applyBorder="1"/>
    <xf numFmtId="44" fontId="4" fillId="0" borderId="78" xfId="0" applyNumberFormat="1" applyFont="1" applyBorder="1"/>
    <xf numFmtId="44" fontId="4" fillId="0" borderId="77" xfId="2" applyFont="1" applyBorder="1" applyAlignment="1">
      <alignment wrapText="1"/>
    </xf>
    <xf numFmtId="1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13" borderId="0" xfId="0" applyFont="1" applyFill="1"/>
    <xf numFmtId="0" fontId="3" fillId="0" borderId="19" xfId="0" applyFont="1" applyBorder="1"/>
    <xf numFmtId="0" fontId="4" fillId="0" borderId="21" xfId="0" applyFont="1" applyBorder="1" applyAlignment="1">
      <alignment horizontal="center"/>
    </xf>
    <xf numFmtId="0" fontId="4" fillId="0" borderId="22" xfId="0" quotePrefix="1" applyFont="1" applyBorder="1" applyAlignment="1">
      <alignment horizontal="center"/>
    </xf>
    <xf numFmtId="0" fontId="4" fillId="0" borderId="23" xfId="0" quotePrefix="1" applyFont="1" applyBorder="1" applyAlignment="1">
      <alignment horizontal="center"/>
    </xf>
    <xf numFmtId="0" fontId="4" fillId="0" borderId="16" xfId="0" quotePrefix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5" xfId="0" quotePrefix="1" applyFont="1" applyBorder="1" applyAlignment="1">
      <alignment horizontal="center"/>
    </xf>
    <xf numFmtId="0" fontId="4" fillId="0" borderId="40" xfId="0" quotePrefix="1" applyFont="1" applyBorder="1" applyAlignment="1">
      <alignment horizontal="center"/>
    </xf>
    <xf numFmtId="0" fontId="4" fillId="13" borderId="20" xfId="0" quotePrefix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13" borderId="88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8" borderId="28" xfId="0" applyFont="1" applyFill="1" applyBorder="1"/>
    <xf numFmtId="0" fontId="15" fillId="8" borderId="0" xfId="0" applyFont="1" applyFill="1" applyBorder="1"/>
    <xf numFmtId="0" fontId="15" fillId="8" borderId="5" xfId="0" applyFont="1" applyFill="1" applyBorder="1"/>
    <xf numFmtId="0" fontId="15" fillId="8" borderId="4" xfId="0" applyFont="1" applyFill="1" applyBorder="1"/>
    <xf numFmtId="0" fontId="15" fillId="13" borderId="0" xfId="0" applyFont="1" applyFill="1" applyBorder="1"/>
    <xf numFmtId="0" fontId="16" fillId="8" borderId="0" xfId="0" applyFont="1" applyFill="1" applyBorder="1"/>
    <xf numFmtId="0" fontId="4" fillId="0" borderId="25" xfId="0" applyFont="1" applyFill="1" applyBorder="1" applyAlignment="1">
      <alignment wrapText="1"/>
    </xf>
    <xf numFmtId="44" fontId="4" fillId="0" borderId="29" xfId="2" applyFont="1" applyBorder="1"/>
    <xf numFmtId="44" fontId="4" fillId="0" borderId="89" xfId="2" applyFont="1" applyBorder="1"/>
    <xf numFmtId="44" fontId="4" fillId="0" borderId="19" xfId="2" applyFont="1" applyBorder="1"/>
    <xf numFmtId="44" fontId="4" fillId="2" borderId="90" xfId="2" applyFont="1" applyFill="1" applyBorder="1"/>
    <xf numFmtId="44" fontId="4" fillId="0" borderId="91" xfId="2" applyFont="1" applyBorder="1"/>
    <xf numFmtId="44" fontId="4" fillId="0" borderId="92" xfId="2" applyFont="1" applyBorder="1"/>
    <xf numFmtId="44" fontId="4" fillId="2" borderId="30" xfId="2" applyFont="1" applyFill="1" applyBorder="1"/>
    <xf numFmtId="44" fontId="4" fillId="13" borderId="91" xfId="2" applyFont="1" applyFill="1" applyBorder="1"/>
    <xf numFmtId="44" fontId="4" fillId="0" borderId="30" xfId="2" applyFont="1" applyBorder="1"/>
    <xf numFmtId="44" fontId="14" fillId="0" borderId="0" xfId="2" applyFont="1"/>
    <xf numFmtId="44" fontId="14" fillId="0" borderId="0" xfId="0" applyNumberFormat="1" applyFont="1"/>
    <xf numFmtId="44" fontId="4" fillId="0" borderId="31" xfId="2" applyFont="1" applyBorder="1"/>
    <xf numFmtId="44" fontId="4" fillId="0" borderId="93" xfId="2" applyFont="1" applyBorder="1"/>
    <xf numFmtId="44" fontId="4" fillId="0" borderId="48" xfId="2" applyFont="1" applyBorder="1"/>
    <xf numFmtId="44" fontId="4" fillId="0" borderId="33" xfId="2" applyFont="1" applyBorder="1"/>
    <xf numFmtId="44" fontId="4" fillId="0" borderId="94" xfId="2" applyFont="1" applyBorder="1"/>
    <xf numFmtId="44" fontId="4" fillId="0" borderId="32" xfId="2" applyFont="1" applyBorder="1"/>
    <xf numFmtId="44" fontId="4" fillId="13" borderId="33" xfId="2" applyFont="1" applyFill="1" applyBorder="1"/>
    <xf numFmtId="44" fontId="4" fillId="0" borderId="30" xfId="2" applyNumberFormat="1" applyFont="1" applyBorder="1"/>
    <xf numFmtId="9" fontId="4" fillId="0" borderId="25" xfId="3" applyFont="1" applyFill="1" applyBorder="1" applyAlignment="1">
      <alignment horizontal="left" wrapText="1"/>
    </xf>
    <xf numFmtId="9" fontId="4" fillId="0" borderId="31" xfId="3" applyFont="1" applyFill="1" applyBorder="1"/>
    <xf numFmtId="9" fontId="4" fillId="0" borderId="93" xfId="3" applyFont="1" applyFill="1" applyBorder="1"/>
    <xf numFmtId="9" fontId="4" fillId="0" borderId="25" xfId="3" applyFont="1" applyFill="1" applyBorder="1"/>
    <xf numFmtId="9" fontId="4" fillId="0" borderId="48" xfId="3" applyFont="1" applyFill="1" applyBorder="1"/>
    <xf numFmtId="9" fontId="4" fillId="0" borderId="33" xfId="3" applyFont="1" applyFill="1" applyBorder="1"/>
    <xf numFmtId="9" fontId="4" fillId="0" borderId="94" xfId="3" applyFont="1" applyBorder="1"/>
    <xf numFmtId="9" fontId="4" fillId="0" borderId="32" xfId="3" applyFont="1" applyBorder="1"/>
    <xf numFmtId="9" fontId="4" fillId="0" borderId="32" xfId="3" applyFont="1" applyFill="1" applyBorder="1"/>
    <xf numFmtId="49" fontId="4" fillId="0" borderId="25" xfId="2" applyNumberFormat="1" applyFont="1" applyFill="1" applyBorder="1" applyAlignment="1">
      <alignment wrapText="1"/>
    </xf>
    <xf numFmtId="165" fontId="4" fillId="0" borderId="31" xfId="2" applyNumberFormat="1" applyFont="1" applyBorder="1"/>
    <xf numFmtId="165" fontId="4" fillId="0" borderId="93" xfId="2" applyNumberFormat="1" applyFont="1" applyBorder="1"/>
    <xf numFmtId="165" fontId="4" fillId="0" borderId="25" xfId="2" applyNumberFormat="1" applyFont="1" applyBorder="1"/>
    <xf numFmtId="165" fontId="4" fillId="0" borderId="33" xfId="2" applyNumberFormat="1" applyFont="1" applyBorder="1"/>
    <xf numFmtId="49" fontId="4" fillId="0" borderId="25" xfId="2" applyNumberFormat="1" applyFont="1" applyFill="1" applyBorder="1" applyAlignment="1">
      <alignment horizontal="left" wrapText="1"/>
    </xf>
    <xf numFmtId="165" fontId="4" fillId="0" borderId="31" xfId="2" applyNumberFormat="1" applyFont="1" applyFill="1" applyBorder="1"/>
    <xf numFmtId="165" fontId="4" fillId="0" borderId="93" xfId="2" applyNumberFormat="1" applyFont="1" applyFill="1" applyBorder="1"/>
    <xf numFmtId="165" fontId="4" fillId="0" borderId="25" xfId="2" applyNumberFormat="1" applyFont="1" applyFill="1" applyBorder="1"/>
    <xf numFmtId="165" fontId="4" fillId="0" borderId="33" xfId="2" applyNumberFormat="1" applyFont="1" applyFill="1" applyBorder="1"/>
    <xf numFmtId="165" fontId="4" fillId="0" borderId="32" xfId="2" applyNumberFormat="1" applyFont="1" applyFill="1" applyBorder="1"/>
    <xf numFmtId="165" fontId="4" fillId="0" borderId="48" xfId="2" applyNumberFormat="1" applyFont="1" applyFill="1" applyBorder="1"/>
    <xf numFmtId="9" fontId="0" fillId="0" borderId="0" xfId="3" applyFont="1"/>
    <xf numFmtId="44" fontId="7" fillId="0" borderId="0" xfId="0" applyNumberFormat="1" applyFont="1"/>
    <xf numFmtId="0" fontId="4" fillId="0" borderId="31" xfId="0" applyFont="1" applyBorder="1"/>
    <xf numFmtId="0" fontId="4" fillId="0" borderId="93" xfId="0" applyFont="1" applyBorder="1"/>
    <xf numFmtId="0" fontId="4" fillId="0" borderId="25" xfId="0" applyFont="1" applyBorder="1"/>
    <xf numFmtId="0" fontId="4" fillId="0" borderId="48" xfId="0" applyFont="1" applyBorder="1"/>
    <xf numFmtId="0" fontId="4" fillId="0" borderId="33" xfId="0" applyFont="1" applyBorder="1"/>
    <xf numFmtId="165" fontId="4" fillId="0" borderId="94" xfId="2" applyNumberFormat="1" applyFont="1" applyFill="1" applyBorder="1"/>
    <xf numFmtId="165" fontId="4" fillId="13" borderId="33" xfId="2" applyNumberFormat="1" applyFont="1" applyFill="1" applyBorder="1"/>
    <xf numFmtId="0" fontId="4" fillId="0" borderId="32" xfId="0" applyFont="1" applyBorder="1"/>
    <xf numFmtId="165" fontId="4" fillId="0" borderId="31" xfId="0" applyNumberFormat="1" applyFont="1" applyBorder="1" applyAlignment="1">
      <alignment wrapText="1"/>
    </xf>
    <xf numFmtId="165" fontId="4" fillId="0" borderId="93" xfId="0" applyNumberFormat="1" applyFont="1" applyBorder="1" applyAlignment="1">
      <alignment wrapText="1"/>
    </xf>
    <xf numFmtId="165" fontId="4" fillId="0" borderId="25" xfId="0" applyNumberFormat="1" applyFont="1" applyBorder="1" applyAlignment="1">
      <alignment wrapText="1"/>
    </xf>
    <xf numFmtId="165" fontId="4" fillId="0" borderId="48" xfId="0" applyNumberFormat="1" applyFont="1" applyBorder="1" applyAlignment="1">
      <alignment wrapText="1"/>
    </xf>
    <xf numFmtId="165" fontId="4" fillId="0" borderId="33" xfId="0" applyNumberFormat="1" applyFont="1" applyBorder="1" applyAlignment="1">
      <alignment wrapText="1"/>
    </xf>
    <xf numFmtId="165" fontId="4" fillId="0" borderId="94" xfId="0" applyNumberFormat="1" applyFont="1" applyBorder="1" applyAlignment="1">
      <alignment wrapText="1"/>
    </xf>
    <xf numFmtId="165" fontId="4" fillId="0" borderId="32" xfId="0" applyNumberFormat="1" applyFont="1" applyBorder="1" applyAlignment="1">
      <alignment wrapText="1"/>
    </xf>
    <xf numFmtId="165" fontId="4" fillId="13" borderId="33" xfId="0" applyNumberFormat="1" applyFont="1" applyFill="1" applyBorder="1" applyAlignment="1">
      <alignment wrapText="1"/>
    </xf>
    <xf numFmtId="49" fontId="3" fillId="9" borderId="25" xfId="2" applyNumberFormat="1" applyFont="1" applyFill="1" applyBorder="1" applyAlignment="1">
      <alignment wrapText="1"/>
    </xf>
    <xf numFmtId="10" fontId="4" fillId="9" borderId="31" xfId="3" applyNumberFormat="1" applyFont="1" applyFill="1" applyBorder="1" applyAlignment="1">
      <alignment horizontal="right"/>
    </xf>
    <xf numFmtId="10" fontId="4" fillId="9" borderId="93" xfId="3" applyNumberFormat="1" applyFont="1" applyFill="1" applyBorder="1" applyAlignment="1">
      <alignment horizontal="right"/>
    </xf>
    <xf numFmtId="10" fontId="4" fillId="9" borderId="25" xfId="3" applyNumberFormat="1" applyFont="1" applyFill="1" applyBorder="1" applyAlignment="1">
      <alignment horizontal="right"/>
    </xf>
    <xf numFmtId="10" fontId="4" fillId="9" borderId="48" xfId="3" applyNumberFormat="1" applyFont="1" applyFill="1" applyBorder="1" applyAlignment="1">
      <alignment horizontal="right"/>
    </xf>
    <xf numFmtId="10" fontId="4" fillId="9" borderId="33" xfId="3" applyNumberFormat="1" applyFont="1" applyFill="1" applyBorder="1" applyAlignment="1">
      <alignment horizontal="right"/>
    </xf>
    <xf numFmtId="10" fontId="4" fillId="9" borderId="94" xfId="3" applyNumberFormat="1" applyFont="1" applyFill="1" applyBorder="1" applyAlignment="1">
      <alignment horizontal="right"/>
    </xf>
    <xf numFmtId="10" fontId="4" fillId="9" borderId="32" xfId="3" applyNumberFormat="1" applyFont="1" applyFill="1" applyBorder="1" applyAlignment="1">
      <alignment horizontal="right"/>
    </xf>
    <xf numFmtId="10" fontId="4" fillId="13" borderId="33" xfId="3" applyNumberFormat="1" applyFont="1" applyFill="1" applyBorder="1" applyAlignment="1">
      <alignment horizontal="right"/>
    </xf>
    <xf numFmtId="164" fontId="4" fillId="9" borderId="35" xfId="3" applyNumberFormat="1" applyFont="1" applyFill="1" applyBorder="1"/>
    <xf numFmtId="49" fontId="3" fillId="9" borderId="36" xfId="2" applyNumberFormat="1" applyFont="1" applyFill="1" applyBorder="1" applyAlignment="1">
      <alignment wrapText="1"/>
    </xf>
    <xf numFmtId="10" fontId="4" fillId="9" borderId="38" xfId="3" applyNumberFormat="1" applyFont="1" applyFill="1" applyBorder="1" applyAlignment="1">
      <alignment horizontal="right"/>
    </xf>
    <xf numFmtId="10" fontId="4" fillId="9" borderId="95" xfId="3" applyNumberFormat="1" applyFont="1" applyFill="1" applyBorder="1" applyAlignment="1">
      <alignment horizontal="right"/>
    </xf>
    <xf numFmtId="10" fontId="4" fillId="9" borderId="36" xfId="3" applyNumberFormat="1" applyFont="1" applyFill="1" applyBorder="1" applyAlignment="1">
      <alignment horizontal="right"/>
    </xf>
    <xf numFmtId="10" fontId="4" fillId="9" borderId="9" xfId="3" applyNumberFormat="1" applyFont="1" applyFill="1" applyBorder="1" applyAlignment="1">
      <alignment horizontal="right"/>
    </xf>
    <xf numFmtId="10" fontId="4" fillId="9" borderId="37" xfId="3" applyNumberFormat="1" applyFont="1" applyFill="1" applyBorder="1" applyAlignment="1">
      <alignment horizontal="right"/>
    </xf>
    <xf numFmtId="10" fontId="4" fillId="9" borderId="96" xfId="3" applyNumberFormat="1" applyFont="1" applyFill="1" applyBorder="1" applyAlignment="1">
      <alignment horizontal="right"/>
    </xf>
    <xf numFmtId="10" fontId="4" fillId="9" borderId="39" xfId="3" applyNumberFormat="1" applyFont="1" applyFill="1" applyBorder="1" applyAlignment="1">
      <alignment horizontal="right"/>
    </xf>
    <xf numFmtId="10" fontId="4" fillId="13" borderId="37" xfId="3" applyNumberFormat="1" applyFont="1" applyFill="1" applyBorder="1" applyAlignment="1">
      <alignment horizontal="right"/>
    </xf>
    <xf numFmtId="10" fontId="4" fillId="9" borderId="5" xfId="3" applyNumberFormat="1" applyFont="1" applyFill="1" applyBorder="1" applyAlignment="1">
      <alignment horizontal="right"/>
    </xf>
    <xf numFmtId="164" fontId="4" fillId="9" borderId="0" xfId="3" applyNumberFormat="1" applyFont="1" applyFill="1" applyBorder="1"/>
    <xf numFmtId="10" fontId="4" fillId="5" borderId="9" xfId="3" applyNumberFormat="1" applyFont="1" applyFill="1" applyBorder="1" applyAlignment="1">
      <alignment horizontal="right"/>
    </xf>
    <xf numFmtId="10" fontId="4" fillId="5" borderId="39" xfId="3" applyNumberFormat="1" applyFont="1" applyFill="1" applyBorder="1" applyAlignment="1">
      <alignment horizontal="right"/>
    </xf>
    <xf numFmtId="0" fontId="4" fillId="0" borderId="36" xfId="0" applyFont="1" applyBorder="1" applyAlignment="1">
      <alignment vertical="center"/>
    </xf>
    <xf numFmtId="165" fontId="4" fillId="0" borderId="38" xfId="2" applyNumberFormat="1" applyFont="1" applyBorder="1" applyAlignment="1">
      <alignment vertical="center" wrapText="1"/>
    </xf>
    <xf numFmtId="165" fontId="4" fillId="0" borderId="95" xfId="2" applyNumberFormat="1" applyFont="1" applyBorder="1" applyAlignment="1">
      <alignment vertical="center" wrapText="1"/>
    </xf>
    <xf numFmtId="165" fontId="4" fillId="0" borderId="36" xfId="2" applyNumberFormat="1" applyFont="1" applyBorder="1" applyAlignment="1">
      <alignment vertical="center" wrapText="1"/>
    </xf>
    <xf numFmtId="165" fontId="4" fillId="0" borderId="9" xfId="2" applyNumberFormat="1" applyFont="1" applyBorder="1" applyAlignment="1">
      <alignment vertical="center" wrapText="1"/>
    </xf>
    <xf numFmtId="165" fontId="4" fillId="0" borderId="37" xfId="2" applyNumberFormat="1" applyFont="1" applyBorder="1" applyAlignment="1">
      <alignment vertical="center" wrapText="1"/>
    </xf>
    <xf numFmtId="165" fontId="4" fillId="0" borderId="96" xfId="2" applyNumberFormat="1" applyFont="1" applyBorder="1" applyAlignment="1">
      <alignment vertical="center" wrapText="1"/>
    </xf>
    <xf numFmtId="165" fontId="4" fillId="0" borderId="39" xfId="2" applyNumberFormat="1" applyFont="1" applyBorder="1" applyAlignment="1">
      <alignment vertical="center" wrapText="1"/>
    </xf>
    <xf numFmtId="165" fontId="4" fillId="13" borderId="37" xfId="2" applyNumberFormat="1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0" fontId="3" fillId="0" borderId="23" xfId="0" applyFont="1" applyBorder="1" applyAlignment="1">
      <alignment vertical="center"/>
    </xf>
    <xf numFmtId="165" fontId="4" fillId="0" borderId="21" xfId="2" applyNumberFormat="1" applyFont="1" applyBorder="1" applyAlignment="1">
      <alignment vertical="center" wrapText="1"/>
    </xf>
    <xf numFmtId="165" fontId="4" fillId="0" borderId="22" xfId="2" applyNumberFormat="1" applyFont="1" applyBorder="1" applyAlignment="1">
      <alignment vertical="center" wrapText="1"/>
    </xf>
    <xf numFmtId="165" fontId="4" fillId="0" borderId="23" xfId="2" applyNumberFormat="1" applyFont="1" applyBorder="1" applyAlignment="1">
      <alignment vertical="center" wrapText="1"/>
    </xf>
    <xf numFmtId="165" fontId="4" fillId="0" borderId="16" xfId="2" applyNumberFormat="1" applyFont="1" applyBorder="1" applyAlignment="1">
      <alignment vertical="center" wrapText="1"/>
    </xf>
    <xf numFmtId="165" fontId="4" fillId="0" borderId="20" xfId="2" applyNumberFormat="1" applyFont="1" applyBorder="1" applyAlignment="1">
      <alignment vertical="center" wrapText="1"/>
    </xf>
    <xf numFmtId="165" fontId="4" fillId="0" borderId="85" xfId="2" applyNumberFormat="1" applyFont="1" applyBorder="1" applyAlignment="1">
      <alignment vertical="center" wrapText="1"/>
    </xf>
    <xf numFmtId="165" fontId="4" fillId="0" borderId="40" xfId="2" applyNumberFormat="1" applyFont="1" applyBorder="1" applyAlignment="1">
      <alignment vertical="center" wrapText="1"/>
    </xf>
    <xf numFmtId="165" fontId="4" fillId="13" borderId="20" xfId="2" applyNumberFormat="1" applyFont="1" applyFill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165" fontId="4" fillId="0" borderId="42" xfId="2" applyNumberFormat="1" applyFont="1" applyBorder="1" applyAlignment="1">
      <alignment vertical="center" wrapText="1"/>
    </xf>
    <xf numFmtId="165" fontId="4" fillId="0" borderId="97" xfId="2" applyNumberFormat="1" applyFont="1" applyBorder="1" applyAlignment="1">
      <alignment vertical="center" wrapText="1"/>
    </xf>
    <xf numFmtId="165" fontId="4" fillId="0" borderId="28" xfId="2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vertical="center" wrapText="1"/>
    </xf>
    <xf numFmtId="165" fontId="4" fillId="0" borderId="41" xfId="2" applyNumberFormat="1" applyFont="1" applyBorder="1" applyAlignment="1">
      <alignment vertical="center" wrapText="1"/>
    </xf>
    <xf numFmtId="165" fontId="4" fillId="0" borderId="98" xfId="2" applyNumberFormat="1" applyFont="1" applyBorder="1" applyAlignment="1">
      <alignment vertical="center" wrapText="1"/>
    </xf>
    <xf numFmtId="165" fontId="4" fillId="0" borderId="43" xfId="2" applyNumberFormat="1" applyFont="1" applyBorder="1" applyAlignment="1">
      <alignment vertical="center" wrapText="1"/>
    </xf>
    <xf numFmtId="165" fontId="4" fillId="13" borderId="41" xfId="2" applyNumberFormat="1" applyFont="1" applyFill="1" applyBorder="1" applyAlignment="1">
      <alignment vertical="center" wrapText="1"/>
    </xf>
    <xf numFmtId="0" fontId="3" fillId="9" borderId="23" xfId="0" applyFont="1" applyFill="1" applyBorder="1" applyAlignment="1">
      <alignment vertical="center"/>
    </xf>
    <xf numFmtId="165" fontId="4" fillId="9" borderId="21" xfId="2" applyNumberFormat="1" applyFont="1" applyFill="1" applyBorder="1" applyAlignment="1">
      <alignment vertical="center"/>
    </xf>
    <xf numFmtId="165" fontId="4" fillId="9" borderId="22" xfId="2" applyNumberFormat="1" applyFont="1" applyFill="1" applyBorder="1" applyAlignment="1">
      <alignment vertical="center"/>
    </xf>
    <xf numFmtId="165" fontId="4" fillId="9" borderId="28" xfId="2" applyNumberFormat="1" applyFont="1" applyFill="1" applyBorder="1" applyAlignment="1">
      <alignment vertical="center"/>
    </xf>
    <xf numFmtId="44" fontId="4" fillId="9" borderId="48" xfId="2" applyFont="1" applyFill="1" applyBorder="1" applyAlignment="1">
      <alignment horizontal="right"/>
    </xf>
    <xf numFmtId="165" fontId="4" fillId="9" borderId="20" xfId="2" applyNumberFormat="1" applyFont="1" applyFill="1" applyBorder="1" applyAlignment="1">
      <alignment vertical="center"/>
    </xf>
    <xf numFmtId="165" fontId="4" fillId="9" borderId="85" xfId="2" applyNumberFormat="1" applyFont="1" applyFill="1" applyBorder="1" applyAlignment="1">
      <alignment vertical="center"/>
    </xf>
    <xf numFmtId="165" fontId="4" fillId="9" borderId="40" xfId="2" applyNumberFormat="1" applyFont="1" applyFill="1" applyBorder="1" applyAlignment="1">
      <alignment vertical="center"/>
    </xf>
    <xf numFmtId="165" fontId="4" fillId="13" borderId="20" xfId="2" applyNumberFormat="1" applyFont="1" applyFill="1" applyBorder="1" applyAlignment="1">
      <alignment vertical="center"/>
    </xf>
    <xf numFmtId="165" fontId="4" fillId="9" borderId="16" xfId="2" applyNumberFormat="1" applyFont="1" applyFill="1" applyBorder="1" applyAlignment="1">
      <alignment vertical="center" wrapText="1"/>
    </xf>
    <xf numFmtId="165" fontId="4" fillId="9" borderId="23" xfId="2" applyNumberFormat="1" applyFont="1" applyFill="1" applyBorder="1" applyAlignment="1">
      <alignment vertical="center" wrapText="1"/>
    </xf>
    <xf numFmtId="165" fontId="4" fillId="0" borderId="42" xfId="2" applyNumberFormat="1" applyFont="1" applyBorder="1" applyAlignment="1">
      <alignment vertical="center"/>
    </xf>
    <xf numFmtId="165" fontId="4" fillId="0" borderId="97" xfId="2" applyNumberFormat="1" applyFont="1" applyBorder="1" applyAlignment="1">
      <alignment vertical="center"/>
    </xf>
    <xf numFmtId="165" fontId="4" fillId="0" borderId="28" xfId="2" applyNumberFormat="1" applyFont="1" applyBorder="1" applyAlignment="1">
      <alignment vertical="center"/>
    </xf>
    <xf numFmtId="165" fontId="4" fillId="0" borderId="5" xfId="2" applyNumberFormat="1" applyFont="1" applyBorder="1" applyAlignment="1">
      <alignment vertical="center"/>
    </xf>
    <xf numFmtId="165" fontId="4" fillId="0" borderId="41" xfId="2" applyNumberFormat="1" applyFont="1" applyBorder="1" applyAlignment="1">
      <alignment vertical="center"/>
    </xf>
    <xf numFmtId="165" fontId="4" fillId="0" borderId="98" xfId="2" applyNumberFormat="1" applyFont="1" applyBorder="1" applyAlignment="1">
      <alignment vertical="center"/>
    </xf>
    <xf numFmtId="165" fontId="4" fillId="0" borderId="43" xfId="2" applyNumberFormat="1" applyFont="1" applyBorder="1" applyAlignment="1">
      <alignment vertical="center"/>
    </xf>
    <xf numFmtId="165" fontId="4" fillId="13" borderId="41" xfId="2" applyNumberFormat="1" applyFont="1" applyFill="1" applyBorder="1" applyAlignment="1">
      <alignment vertical="center"/>
    </xf>
    <xf numFmtId="10" fontId="3" fillId="0" borderId="23" xfId="3" applyNumberFormat="1" applyFont="1" applyBorder="1" applyAlignment="1">
      <alignment wrapText="1"/>
    </xf>
    <xf numFmtId="10" fontId="4" fillId="0" borderId="21" xfId="3" applyNumberFormat="1" applyFont="1" applyBorder="1" applyAlignment="1">
      <alignment wrapText="1"/>
    </xf>
    <xf numFmtId="10" fontId="4" fillId="0" borderId="22" xfId="3" applyNumberFormat="1" applyFont="1" applyBorder="1" applyAlignment="1">
      <alignment wrapText="1"/>
    </xf>
    <xf numFmtId="10" fontId="4" fillId="0" borderId="23" xfId="3" applyNumberFormat="1" applyFont="1" applyBorder="1" applyAlignment="1">
      <alignment wrapText="1"/>
    </xf>
    <xf numFmtId="10" fontId="4" fillId="12" borderId="16" xfId="3" applyNumberFormat="1" applyFont="1" applyFill="1" applyBorder="1" applyAlignment="1">
      <alignment wrapText="1"/>
    </xf>
    <xf numFmtId="10" fontId="4" fillId="0" borderId="20" xfId="3" applyNumberFormat="1" applyFont="1" applyBorder="1" applyAlignment="1">
      <alignment wrapText="1"/>
    </xf>
    <xf numFmtId="10" fontId="4" fillId="0" borderId="85" xfId="3" applyNumberFormat="1" applyFont="1" applyBorder="1" applyAlignment="1">
      <alignment wrapText="1"/>
    </xf>
    <xf numFmtId="10" fontId="4" fillId="12" borderId="40" xfId="3" applyNumberFormat="1" applyFont="1" applyFill="1" applyBorder="1" applyAlignment="1">
      <alignment wrapText="1"/>
    </xf>
    <xf numFmtId="10" fontId="4" fillId="13" borderId="20" xfId="3" applyNumberFormat="1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9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98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13" borderId="41" xfId="0" applyFont="1" applyFill="1" applyBorder="1" applyAlignment="1">
      <alignment wrapText="1"/>
    </xf>
    <xf numFmtId="0" fontId="3" fillId="9" borderId="23" xfId="0" applyFont="1" applyFill="1" applyBorder="1" applyAlignment="1">
      <alignment wrapText="1"/>
    </xf>
    <xf numFmtId="165" fontId="4" fillId="9" borderId="21" xfId="0" applyNumberFormat="1" applyFont="1" applyFill="1" applyBorder="1" applyAlignment="1">
      <alignment wrapText="1"/>
    </xf>
    <xf numFmtId="165" fontId="4" fillId="9" borderId="22" xfId="0" applyNumberFormat="1" applyFont="1" applyFill="1" applyBorder="1" applyAlignment="1">
      <alignment wrapText="1"/>
    </xf>
    <xf numFmtId="165" fontId="4" fillId="9" borderId="23" xfId="0" applyNumberFormat="1" applyFont="1" applyFill="1" applyBorder="1" applyAlignment="1">
      <alignment wrapText="1"/>
    </xf>
    <xf numFmtId="165" fontId="4" fillId="9" borderId="16" xfId="0" applyNumberFormat="1" applyFont="1" applyFill="1" applyBorder="1" applyAlignment="1">
      <alignment wrapText="1"/>
    </xf>
    <xf numFmtId="165" fontId="4" fillId="9" borderId="20" xfId="0" applyNumberFormat="1" applyFont="1" applyFill="1" applyBorder="1" applyAlignment="1">
      <alignment wrapText="1"/>
    </xf>
    <xf numFmtId="165" fontId="4" fillId="9" borderId="85" xfId="0" applyNumberFormat="1" applyFont="1" applyFill="1" applyBorder="1" applyAlignment="1">
      <alignment wrapText="1"/>
    </xf>
    <xf numFmtId="165" fontId="4" fillId="9" borderId="40" xfId="0" applyNumberFormat="1" applyFont="1" applyFill="1" applyBorder="1" applyAlignment="1">
      <alignment wrapText="1"/>
    </xf>
    <xf numFmtId="165" fontId="4" fillId="13" borderId="20" xfId="0" applyNumberFormat="1" applyFont="1" applyFill="1" applyBorder="1" applyAlignment="1">
      <alignment wrapText="1"/>
    </xf>
    <xf numFmtId="44" fontId="0" fillId="0" borderId="0" xfId="2" applyFont="1"/>
    <xf numFmtId="165" fontId="4" fillId="0" borderId="42" xfId="0" applyNumberFormat="1" applyFont="1" applyFill="1" applyBorder="1" applyAlignment="1">
      <alignment wrapText="1"/>
    </xf>
    <xf numFmtId="165" fontId="4" fillId="0" borderId="97" xfId="0" applyNumberFormat="1" applyFont="1" applyFill="1" applyBorder="1" applyAlignment="1">
      <alignment wrapText="1"/>
    </xf>
    <xf numFmtId="165" fontId="4" fillId="0" borderId="28" xfId="0" applyNumberFormat="1" applyFont="1" applyFill="1" applyBorder="1" applyAlignment="1">
      <alignment wrapText="1"/>
    </xf>
    <xf numFmtId="165" fontId="4" fillId="0" borderId="5" xfId="0" applyNumberFormat="1" applyFont="1" applyFill="1" applyBorder="1" applyAlignment="1">
      <alignment wrapText="1"/>
    </xf>
    <xf numFmtId="165" fontId="4" fillId="0" borderId="41" xfId="0" applyNumberFormat="1" applyFont="1" applyFill="1" applyBorder="1" applyAlignment="1">
      <alignment wrapText="1"/>
    </xf>
    <xf numFmtId="165" fontId="4" fillId="0" borderId="98" xfId="0" applyNumberFormat="1" applyFont="1" applyFill="1" applyBorder="1" applyAlignment="1">
      <alignment wrapText="1"/>
    </xf>
    <xf numFmtId="165" fontId="4" fillId="0" borderId="43" xfId="0" applyNumberFormat="1" applyFont="1" applyFill="1" applyBorder="1" applyAlignment="1">
      <alignment wrapText="1"/>
    </xf>
    <xf numFmtId="165" fontId="4" fillId="13" borderId="41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10" fontId="4" fillId="0" borderId="42" xfId="3" applyNumberFormat="1" applyFont="1" applyFill="1" applyBorder="1" applyAlignment="1">
      <alignment wrapText="1"/>
    </xf>
    <xf numFmtId="10" fontId="4" fillId="0" borderId="97" xfId="3" applyNumberFormat="1" applyFont="1" applyFill="1" applyBorder="1" applyAlignment="1">
      <alignment wrapText="1"/>
    </xf>
    <xf numFmtId="10" fontId="4" fillId="0" borderId="28" xfId="3" applyNumberFormat="1" applyFont="1" applyFill="1" applyBorder="1" applyAlignment="1">
      <alignment wrapText="1"/>
    </xf>
    <xf numFmtId="10" fontId="4" fillId="3" borderId="5" xfId="3" applyNumberFormat="1" applyFont="1" applyFill="1" applyBorder="1" applyAlignment="1">
      <alignment wrapText="1"/>
    </xf>
    <xf numFmtId="10" fontId="4" fillId="0" borderId="41" xfId="3" applyNumberFormat="1" applyFont="1" applyFill="1" applyBorder="1" applyAlignment="1">
      <alignment wrapText="1"/>
    </xf>
    <xf numFmtId="10" fontId="4" fillId="3" borderId="43" xfId="3" applyNumberFormat="1" applyFont="1" applyFill="1" applyBorder="1" applyAlignment="1">
      <alignment wrapText="1"/>
    </xf>
    <xf numFmtId="44" fontId="3" fillId="0" borderId="23" xfId="2" applyFont="1" applyBorder="1" applyAlignment="1">
      <alignment wrapText="1"/>
    </xf>
    <xf numFmtId="165" fontId="4" fillId="0" borderId="21" xfId="2" applyNumberFormat="1" applyFont="1" applyBorder="1" applyAlignment="1">
      <alignment wrapText="1"/>
    </xf>
    <xf numFmtId="165" fontId="4" fillId="0" borderId="22" xfId="2" applyNumberFormat="1" applyFont="1" applyBorder="1" applyAlignment="1">
      <alignment wrapText="1"/>
    </xf>
    <xf numFmtId="165" fontId="4" fillId="0" borderId="23" xfId="2" applyNumberFormat="1" applyFont="1" applyBorder="1" applyAlignment="1">
      <alignment wrapText="1"/>
    </xf>
    <xf numFmtId="165" fontId="4" fillId="0" borderId="16" xfId="2" applyNumberFormat="1" applyFont="1" applyBorder="1" applyAlignment="1">
      <alignment wrapText="1"/>
    </xf>
    <xf numFmtId="165" fontId="4" fillId="0" borderId="20" xfId="2" applyNumberFormat="1" applyFont="1" applyBorder="1" applyAlignment="1">
      <alignment wrapText="1"/>
    </xf>
    <xf numFmtId="165" fontId="4" fillId="0" borderId="85" xfId="2" applyNumberFormat="1" applyFont="1" applyBorder="1" applyAlignment="1">
      <alignment wrapText="1"/>
    </xf>
    <xf numFmtId="165" fontId="4" fillId="0" borderId="40" xfId="2" applyNumberFormat="1" applyFont="1" applyBorder="1" applyAlignment="1">
      <alignment wrapText="1"/>
    </xf>
    <xf numFmtId="165" fontId="4" fillId="13" borderId="20" xfId="2" applyNumberFormat="1" applyFont="1" applyFill="1" applyBorder="1" applyAlignment="1">
      <alignment wrapText="1"/>
    </xf>
    <xf numFmtId="165" fontId="7" fillId="0" borderId="0" xfId="0" applyNumberFormat="1" applyFont="1"/>
    <xf numFmtId="165" fontId="14" fillId="0" borderId="0" xfId="0" applyNumberFormat="1" applyFont="1"/>
    <xf numFmtId="10" fontId="4" fillId="9" borderId="21" xfId="3" applyNumberFormat="1" applyFont="1" applyFill="1" applyBorder="1" applyAlignment="1">
      <alignment wrapText="1"/>
    </xf>
    <xf numFmtId="10" fontId="4" fillId="9" borderId="22" xfId="3" applyNumberFormat="1" applyFont="1" applyFill="1" applyBorder="1" applyAlignment="1">
      <alignment wrapText="1"/>
    </xf>
    <xf numFmtId="10" fontId="4" fillId="9" borderId="23" xfId="3" applyNumberFormat="1" applyFont="1" applyFill="1" applyBorder="1" applyAlignment="1">
      <alignment wrapText="1"/>
    </xf>
    <xf numFmtId="10" fontId="4" fillId="9" borderId="16" xfId="3" applyNumberFormat="1" applyFont="1" applyFill="1" applyBorder="1" applyAlignment="1">
      <alignment wrapText="1"/>
    </xf>
    <xf numFmtId="10" fontId="4" fillId="9" borderId="20" xfId="3" applyNumberFormat="1" applyFont="1" applyFill="1" applyBorder="1" applyAlignment="1">
      <alignment wrapText="1"/>
    </xf>
    <xf numFmtId="10" fontId="4" fillId="9" borderId="85" xfId="3" applyNumberFormat="1" applyFont="1" applyFill="1" applyBorder="1" applyAlignment="1">
      <alignment wrapText="1"/>
    </xf>
    <xf numFmtId="10" fontId="4" fillId="9" borderId="40" xfId="3" applyNumberFormat="1" applyFont="1" applyFill="1" applyBorder="1" applyAlignment="1">
      <alignment wrapText="1"/>
    </xf>
    <xf numFmtId="0" fontId="4" fillId="9" borderId="16" xfId="0" applyFont="1" applyFill="1" applyBorder="1" applyAlignment="1">
      <alignment wrapText="1"/>
    </xf>
    <xf numFmtId="10" fontId="4" fillId="9" borderId="16" xfId="0" applyNumberFormat="1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44" fontId="4" fillId="0" borderId="46" xfId="2" applyFont="1" applyBorder="1" applyAlignment="1">
      <alignment wrapText="1"/>
    </xf>
    <xf numFmtId="44" fontId="4" fillId="0" borderId="55" xfId="2" applyFont="1" applyBorder="1" applyAlignment="1">
      <alignment wrapText="1"/>
    </xf>
    <xf numFmtId="44" fontId="4" fillId="0" borderId="44" xfId="2" applyFont="1" applyBorder="1" applyAlignment="1">
      <alignment wrapText="1"/>
    </xf>
    <xf numFmtId="44" fontId="4" fillId="0" borderId="11" xfId="2" applyFont="1" applyBorder="1" applyAlignment="1">
      <alignment wrapText="1"/>
    </xf>
    <xf numFmtId="44" fontId="4" fillId="0" borderId="45" xfId="2" applyFont="1" applyBorder="1" applyAlignment="1">
      <alignment wrapText="1"/>
    </xf>
    <xf numFmtId="44" fontId="4" fillId="0" borderId="99" xfId="2" applyFont="1" applyBorder="1" applyAlignment="1">
      <alignment wrapText="1"/>
    </xf>
    <xf numFmtId="44" fontId="4" fillId="0" borderId="47" xfId="2" applyFont="1" applyBorder="1" applyAlignment="1">
      <alignment wrapText="1"/>
    </xf>
    <xf numFmtId="44" fontId="4" fillId="13" borderId="45" xfId="2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6" xfId="0" applyFont="1" applyBorder="1" applyAlignment="1">
      <alignment wrapText="1"/>
    </xf>
    <xf numFmtId="44" fontId="4" fillId="0" borderId="31" xfId="2" applyFont="1" applyBorder="1" applyAlignment="1">
      <alignment wrapText="1"/>
    </xf>
    <xf numFmtId="44" fontId="4" fillId="0" borderId="93" xfId="2" applyFont="1" applyBorder="1" applyAlignment="1">
      <alignment wrapText="1"/>
    </xf>
    <xf numFmtId="44" fontId="4" fillId="0" borderId="25" xfId="2" applyFont="1" applyBorder="1" applyAlignment="1">
      <alignment wrapText="1"/>
    </xf>
    <xf numFmtId="44" fontId="4" fillId="0" borderId="48" xfId="2" applyFont="1" applyBorder="1" applyAlignment="1">
      <alignment wrapText="1"/>
    </xf>
    <xf numFmtId="44" fontId="4" fillId="0" borderId="33" xfId="2" applyFont="1" applyBorder="1" applyAlignment="1">
      <alignment wrapText="1"/>
    </xf>
    <xf numFmtId="44" fontId="4" fillId="0" borderId="94" xfId="2" applyFont="1" applyBorder="1" applyAlignment="1">
      <alignment wrapText="1"/>
    </xf>
    <xf numFmtId="44" fontId="4" fillId="0" borderId="32" xfId="2" applyFont="1" applyBorder="1" applyAlignment="1">
      <alignment wrapText="1"/>
    </xf>
    <xf numFmtId="44" fontId="4" fillId="13" borderId="33" xfId="2" applyFont="1" applyFill="1" applyBorder="1" applyAlignment="1">
      <alignment wrapText="1"/>
    </xf>
    <xf numFmtId="0" fontId="3" fillId="0" borderId="25" xfId="0" applyFont="1" applyFill="1" applyBorder="1"/>
    <xf numFmtId="166" fontId="4" fillId="0" borderId="31" xfId="0" applyNumberFormat="1" applyFont="1" applyBorder="1"/>
    <xf numFmtId="166" fontId="4" fillId="0" borderId="93" xfId="0" applyNumberFormat="1" applyFont="1" applyBorder="1"/>
    <xf numFmtId="166" fontId="4" fillId="0" borderId="25" xfId="0" applyNumberFormat="1" applyFont="1" applyBorder="1"/>
    <xf numFmtId="166" fontId="4" fillId="0" borderId="48" xfId="0" applyNumberFormat="1" applyFont="1" applyBorder="1"/>
    <xf numFmtId="166" fontId="4" fillId="0" borderId="33" xfId="0" applyNumberFormat="1" applyFont="1" applyBorder="1"/>
    <xf numFmtId="166" fontId="4" fillId="0" borderId="94" xfId="0" applyNumberFormat="1" applyFont="1" applyBorder="1"/>
    <xf numFmtId="166" fontId="4" fillId="0" borderId="32" xfId="0" applyNumberFormat="1" applyFont="1" applyBorder="1"/>
    <xf numFmtId="166" fontId="4" fillId="13" borderId="33" xfId="0" applyNumberFormat="1" applyFont="1" applyFill="1" applyBorder="1"/>
    <xf numFmtId="166" fontId="4" fillId="0" borderId="5" xfId="0" applyNumberFormat="1" applyFont="1" applyBorder="1"/>
    <xf numFmtId="166" fontId="4" fillId="0" borderId="0" xfId="0" applyNumberFormat="1" applyFont="1" applyBorder="1"/>
    <xf numFmtId="0" fontId="4" fillId="9" borderId="25" xfId="0" applyFont="1" applyFill="1" applyBorder="1" applyAlignment="1">
      <alignment wrapText="1"/>
    </xf>
    <xf numFmtId="44" fontId="4" fillId="9" borderId="31" xfId="0" applyNumberFormat="1" applyFont="1" applyFill="1" applyBorder="1" applyAlignment="1">
      <alignment horizontal="right"/>
    </xf>
    <xf numFmtId="44" fontId="4" fillId="9" borderId="93" xfId="0" applyNumberFormat="1" applyFont="1" applyFill="1" applyBorder="1" applyAlignment="1">
      <alignment horizontal="right"/>
    </xf>
    <xf numFmtId="44" fontId="4" fillId="9" borderId="25" xfId="0" applyNumberFormat="1" applyFont="1" applyFill="1" applyBorder="1" applyAlignment="1">
      <alignment horizontal="right"/>
    </xf>
    <xf numFmtId="44" fontId="4" fillId="9" borderId="48" xfId="0" applyNumberFormat="1" applyFont="1" applyFill="1" applyBorder="1" applyAlignment="1">
      <alignment horizontal="right"/>
    </xf>
    <xf numFmtId="44" fontId="4" fillId="9" borderId="33" xfId="0" applyNumberFormat="1" applyFont="1" applyFill="1" applyBorder="1" applyAlignment="1">
      <alignment horizontal="right"/>
    </xf>
    <xf numFmtId="44" fontId="4" fillId="9" borderId="94" xfId="0" applyNumberFormat="1" applyFont="1" applyFill="1" applyBorder="1" applyAlignment="1">
      <alignment horizontal="right"/>
    </xf>
    <xf numFmtId="44" fontId="4" fillId="9" borderId="32" xfId="0" applyNumberFormat="1" applyFont="1" applyFill="1" applyBorder="1" applyAlignment="1">
      <alignment horizontal="right"/>
    </xf>
    <xf numFmtId="44" fontId="4" fillId="13" borderId="33" xfId="0" applyNumberFormat="1" applyFont="1" applyFill="1" applyBorder="1" applyAlignment="1">
      <alignment horizontal="right"/>
    </xf>
    <xf numFmtId="166" fontId="4" fillId="9" borderId="48" xfId="0" applyNumberFormat="1" applyFont="1" applyFill="1" applyBorder="1"/>
    <xf numFmtId="44" fontId="4" fillId="9" borderId="35" xfId="2" applyFont="1" applyFill="1" applyBorder="1"/>
    <xf numFmtId="44" fontId="4" fillId="0" borderId="31" xfId="0" applyNumberFormat="1" applyFont="1" applyFill="1" applyBorder="1" applyAlignment="1">
      <alignment horizontal="right"/>
    </xf>
    <xf numFmtId="44" fontId="4" fillId="0" borderId="93" xfId="0" applyNumberFormat="1" applyFont="1" applyFill="1" applyBorder="1" applyAlignment="1">
      <alignment horizontal="right"/>
    </xf>
    <xf numFmtId="44" fontId="4" fillId="0" borderId="25" xfId="0" applyNumberFormat="1" applyFont="1" applyFill="1" applyBorder="1" applyAlignment="1">
      <alignment horizontal="right"/>
    </xf>
    <xf numFmtId="44" fontId="4" fillId="0" borderId="48" xfId="0" applyNumberFormat="1" applyFont="1" applyFill="1" applyBorder="1" applyAlignment="1">
      <alignment horizontal="right"/>
    </xf>
    <xf numFmtId="44" fontId="4" fillId="0" borderId="33" xfId="0" applyNumberFormat="1" applyFont="1" applyFill="1" applyBorder="1" applyAlignment="1">
      <alignment horizontal="right"/>
    </xf>
    <xf numFmtId="44" fontId="4" fillId="0" borderId="94" xfId="0" applyNumberFormat="1" applyFont="1" applyFill="1" applyBorder="1" applyAlignment="1">
      <alignment horizontal="right"/>
    </xf>
    <xf numFmtId="44" fontId="4" fillId="0" borderId="32" xfId="0" applyNumberFormat="1" applyFont="1" applyFill="1" applyBorder="1" applyAlignment="1">
      <alignment horizontal="right"/>
    </xf>
    <xf numFmtId="44" fontId="4" fillId="0" borderId="35" xfId="2" applyFont="1" applyBorder="1"/>
    <xf numFmtId="0" fontId="4" fillId="7" borderId="25" xfId="0" applyFont="1" applyFill="1" applyBorder="1" applyAlignment="1">
      <alignment wrapText="1"/>
    </xf>
    <xf numFmtId="44" fontId="4" fillId="7" borderId="50" xfId="0" applyNumberFormat="1" applyFont="1" applyFill="1" applyBorder="1" applyAlignment="1">
      <alignment horizontal="right"/>
    </xf>
    <xf numFmtId="44" fontId="4" fillId="7" borderId="100" xfId="0" applyNumberFormat="1" applyFont="1" applyFill="1" applyBorder="1" applyAlignment="1">
      <alignment horizontal="right"/>
    </xf>
    <xf numFmtId="44" fontId="4" fillId="7" borderId="61" xfId="0" applyNumberFormat="1" applyFont="1" applyFill="1" applyBorder="1" applyAlignment="1">
      <alignment horizontal="right"/>
    </xf>
    <xf numFmtId="44" fontId="4" fillId="7" borderId="52" xfId="0" applyNumberFormat="1" applyFont="1" applyFill="1" applyBorder="1" applyAlignment="1">
      <alignment horizontal="right"/>
    </xf>
    <xf numFmtId="44" fontId="4" fillId="7" borderId="49" xfId="0" applyNumberFormat="1" applyFont="1" applyFill="1" applyBorder="1" applyAlignment="1">
      <alignment horizontal="right"/>
    </xf>
    <xf numFmtId="44" fontId="4" fillId="7" borderId="101" xfId="0" applyNumberFormat="1" applyFont="1" applyFill="1" applyBorder="1" applyAlignment="1">
      <alignment horizontal="right"/>
    </xf>
    <xf numFmtId="44" fontId="4" fillId="7" borderId="51" xfId="0" applyNumberFormat="1" applyFont="1" applyFill="1" applyBorder="1" applyAlignment="1">
      <alignment horizontal="right"/>
    </xf>
    <xf numFmtId="44" fontId="4" fillId="13" borderId="49" xfId="0" applyNumberFormat="1" applyFont="1" applyFill="1" applyBorder="1" applyAlignment="1">
      <alignment horizontal="right"/>
    </xf>
    <xf numFmtId="44" fontId="4" fillId="7" borderId="53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wrapText="1"/>
    </xf>
    <xf numFmtId="44" fontId="4" fillId="0" borderId="46" xfId="0" applyNumberFormat="1" applyFont="1" applyFill="1" applyBorder="1" applyAlignment="1">
      <alignment horizontal="right"/>
    </xf>
    <xf numFmtId="44" fontId="4" fillId="0" borderId="55" xfId="0" applyNumberFormat="1" applyFont="1" applyFill="1" applyBorder="1" applyAlignment="1">
      <alignment horizontal="right"/>
    </xf>
    <xf numFmtId="44" fontId="4" fillId="0" borderId="44" xfId="0" applyNumberFormat="1" applyFont="1" applyFill="1" applyBorder="1" applyAlignment="1">
      <alignment horizontal="right"/>
    </xf>
    <xf numFmtId="44" fontId="4" fillId="0" borderId="11" xfId="0" applyNumberFormat="1" applyFont="1" applyFill="1" applyBorder="1" applyAlignment="1">
      <alignment horizontal="right"/>
    </xf>
    <xf numFmtId="44" fontId="4" fillId="0" borderId="6" xfId="0" applyNumberFormat="1" applyFont="1" applyFill="1" applyBorder="1" applyAlignment="1">
      <alignment horizontal="right"/>
    </xf>
    <xf numFmtId="44" fontId="4" fillId="0" borderId="99" xfId="0" applyNumberFormat="1" applyFont="1" applyFill="1" applyBorder="1" applyAlignment="1">
      <alignment horizontal="right"/>
    </xf>
    <xf numFmtId="44" fontId="4" fillId="0" borderId="47" xfId="0" applyNumberFormat="1" applyFont="1" applyFill="1" applyBorder="1" applyAlignment="1">
      <alignment horizontal="right"/>
    </xf>
    <xf numFmtId="44" fontId="4" fillId="13" borderId="45" xfId="0" applyNumberFormat="1" applyFont="1" applyFill="1" applyBorder="1" applyAlignment="1">
      <alignment horizontal="right"/>
    </xf>
    <xf numFmtId="44" fontId="4" fillId="0" borderId="44" xfId="0" applyNumberFormat="1" applyFont="1" applyBorder="1"/>
    <xf numFmtId="44" fontId="4" fillId="0" borderId="57" xfId="0" applyNumberFormat="1" applyFont="1" applyFill="1" applyBorder="1" applyAlignment="1">
      <alignment horizontal="right"/>
    </xf>
    <xf numFmtId="44" fontId="4" fillId="0" borderId="58" xfId="0" applyNumberFormat="1" applyFont="1" applyFill="1" applyBorder="1" applyAlignment="1">
      <alignment horizontal="right"/>
    </xf>
    <xf numFmtId="44" fontId="4" fillId="0" borderId="59" xfId="0" applyNumberFormat="1" applyFont="1" applyFill="1" applyBorder="1" applyAlignment="1">
      <alignment horizontal="right"/>
    </xf>
    <xf numFmtId="44" fontId="4" fillId="0" borderId="18" xfId="0" applyNumberFormat="1" applyFont="1" applyFill="1" applyBorder="1" applyAlignment="1">
      <alignment horizontal="right"/>
    </xf>
    <xf numFmtId="44" fontId="4" fillId="0" borderId="56" xfId="0" applyNumberFormat="1" applyFont="1" applyFill="1" applyBorder="1" applyAlignment="1">
      <alignment horizontal="right"/>
    </xf>
    <xf numFmtId="44" fontId="4" fillId="0" borderId="102" xfId="0" applyNumberFormat="1" applyFont="1" applyFill="1" applyBorder="1" applyAlignment="1">
      <alignment horizontal="right"/>
    </xf>
    <xf numFmtId="44" fontId="4" fillId="0" borderId="103" xfId="0" applyNumberFormat="1" applyFont="1" applyFill="1" applyBorder="1" applyAlignment="1">
      <alignment horizontal="right"/>
    </xf>
    <xf numFmtId="44" fontId="4" fillId="13" borderId="104" xfId="0" applyNumberFormat="1" applyFont="1" applyFill="1" applyBorder="1" applyAlignment="1">
      <alignment horizontal="right"/>
    </xf>
    <xf numFmtId="44" fontId="4" fillId="0" borderId="59" xfId="0" applyNumberFormat="1" applyFont="1" applyBorder="1"/>
    <xf numFmtId="44" fontId="4" fillId="0" borderId="105" xfId="0" applyNumberFormat="1" applyFont="1" applyBorder="1"/>
    <xf numFmtId="0" fontId="4" fillId="0" borderId="61" xfId="0" applyFont="1" applyFill="1" applyBorder="1" applyAlignment="1">
      <alignment wrapText="1"/>
    </xf>
    <xf numFmtId="44" fontId="4" fillId="0" borderId="62" xfId="0" applyNumberFormat="1" applyFont="1" applyFill="1" applyBorder="1" applyAlignment="1">
      <alignment horizontal="right"/>
    </xf>
    <xf numFmtId="44" fontId="4" fillId="0" borderId="63" xfId="0" applyNumberFormat="1" applyFont="1" applyFill="1" applyBorder="1" applyAlignment="1">
      <alignment horizontal="right"/>
    </xf>
    <xf numFmtId="44" fontId="4" fillId="0" borderId="64" xfId="0" applyNumberFormat="1" applyFont="1" applyFill="1" applyBorder="1" applyAlignment="1">
      <alignment horizontal="right"/>
    </xf>
    <xf numFmtId="44" fontId="4" fillId="0" borderId="14" xfId="0" applyNumberFormat="1" applyFont="1" applyFill="1" applyBorder="1" applyAlignment="1">
      <alignment horizontal="right"/>
    </xf>
    <xf numFmtId="44" fontId="4" fillId="0" borderId="13" xfId="0" applyNumberFormat="1" applyFont="1" applyFill="1" applyBorder="1" applyAlignment="1">
      <alignment horizontal="right"/>
    </xf>
    <xf numFmtId="44" fontId="4" fillId="0" borderId="106" xfId="0" applyNumberFormat="1" applyFont="1" applyFill="1" applyBorder="1" applyAlignment="1">
      <alignment horizontal="right"/>
    </xf>
    <xf numFmtId="44" fontId="4" fillId="0" borderId="107" xfId="0" applyNumberFormat="1" applyFont="1" applyFill="1" applyBorder="1" applyAlignment="1">
      <alignment horizontal="right"/>
    </xf>
    <xf numFmtId="44" fontId="4" fillId="13" borderId="108" xfId="0" applyNumberFormat="1" applyFont="1" applyFill="1" applyBorder="1" applyAlignment="1">
      <alignment horizontal="right"/>
    </xf>
    <xf numFmtId="44" fontId="4" fillId="0" borderId="64" xfId="0" applyNumberFormat="1" applyFont="1" applyBorder="1"/>
    <xf numFmtId="0" fontId="0" fillId="13" borderId="0" xfId="0" applyFill="1"/>
    <xf numFmtId="0" fontId="0" fillId="13" borderId="0" xfId="0" applyFill="1" applyBorder="1" applyAlignment="1">
      <alignment wrapText="1"/>
    </xf>
    <xf numFmtId="165" fontId="0" fillId="13" borderId="0" xfId="0" applyNumberFormat="1" applyFill="1" applyBorder="1" applyAlignment="1">
      <alignment horizontal="right"/>
    </xf>
    <xf numFmtId="165" fontId="0" fillId="13" borderId="0" xfId="0" applyNumberFormat="1" applyFill="1" applyBorder="1" applyAlignment="1">
      <alignment wrapText="1"/>
    </xf>
    <xf numFmtId="164" fontId="0" fillId="13" borderId="0" xfId="3" applyNumberFormat="1" applyFont="1" applyFill="1" applyBorder="1" applyAlignment="1">
      <alignment horizontal="right"/>
    </xf>
    <xf numFmtId="166" fontId="0" fillId="13" borderId="0" xfId="1" applyNumberFormat="1" applyFont="1" applyFill="1" applyBorder="1" applyAlignment="1">
      <alignment wrapText="1"/>
    </xf>
    <xf numFmtId="44" fontId="0" fillId="13" borderId="0" xfId="2" applyFont="1" applyFill="1" applyBorder="1" applyAlignment="1">
      <alignment wrapText="1"/>
    </xf>
    <xf numFmtId="43" fontId="0" fillId="13" borderId="0" xfId="1" applyFont="1" applyFill="1" applyBorder="1" applyAlignment="1">
      <alignment wrapText="1"/>
    </xf>
    <xf numFmtId="166" fontId="0" fillId="13" borderId="0" xfId="0" applyNumberFormat="1" applyFill="1" applyBorder="1"/>
    <xf numFmtId="44" fontId="0" fillId="13" borderId="0" xfId="0" applyNumberFormat="1" applyFill="1" applyBorder="1" applyAlignment="1">
      <alignment horizontal="right"/>
    </xf>
    <xf numFmtId="0" fontId="0" fillId="13" borderId="0" xfId="0" applyFill="1" applyBorder="1"/>
    <xf numFmtId="0" fontId="14" fillId="0" borderId="66" xfId="0" applyFont="1" applyBorder="1"/>
    <xf numFmtId="0" fontId="14" fillId="0" borderId="68" xfId="0" applyFont="1" applyBorder="1"/>
    <xf numFmtId="44" fontId="14" fillId="2" borderId="70" xfId="2" applyFont="1" applyFill="1" applyBorder="1"/>
    <xf numFmtId="44" fontId="14" fillId="0" borderId="5" xfId="2" applyFont="1" applyBorder="1"/>
    <xf numFmtId="0" fontId="14" fillId="0" borderId="71" xfId="0" applyFont="1" applyBorder="1"/>
    <xf numFmtId="0" fontId="14" fillId="0" borderId="72" xfId="0" applyFont="1" applyBorder="1"/>
    <xf numFmtId="0" fontId="14" fillId="0" borderId="109" xfId="0" applyFont="1" applyBorder="1"/>
    <xf numFmtId="0" fontId="14" fillId="0" borderId="110" xfId="0" applyFont="1" applyBorder="1"/>
    <xf numFmtId="0" fontId="14" fillId="0" borderId="65" xfId="0" applyFont="1" applyBorder="1" applyAlignment="1">
      <alignment wrapText="1"/>
    </xf>
    <xf numFmtId="44" fontId="14" fillId="0" borderId="66" xfId="2" applyFont="1" applyBorder="1"/>
    <xf numFmtId="0" fontId="14" fillId="0" borderId="67" xfId="0" applyFont="1" applyBorder="1"/>
    <xf numFmtId="10" fontId="14" fillId="5" borderId="68" xfId="2" applyNumberFormat="1" applyFont="1" applyFill="1" applyBorder="1"/>
    <xf numFmtId="0" fontId="14" fillId="0" borderId="77" xfId="0" applyFont="1" applyBorder="1"/>
    <xf numFmtId="10" fontId="14" fillId="0" borderId="68" xfId="3" applyNumberFormat="1" applyFont="1" applyBorder="1"/>
    <xf numFmtId="0" fontId="14" fillId="0" borderId="69" xfId="0" applyFont="1" applyBorder="1" applyAlignment="1">
      <alignment wrapText="1"/>
    </xf>
    <xf numFmtId="44" fontId="14" fillId="0" borderId="70" xfId="0" applyNumberFormat="1" applyFont="1" applyBorder="1"/>
    <xf numFmtId="44" fontId="14" fillId="0" borderId="66" xfId="0" applyNumberFormat="1" applyFont="1" applyBorder="1"/>
    <xf numFmtId="44" fontId="14" fillId="0" borderId="68" xfId="0" applyNumberFormat="1" applyFont="1" applyBorder="1"/>
    <xf numFmtId="0" fontId="14" fillId="0" borderId="65" xfId="0" applyFont="1" applyBorder="1" applyAlignment="1">
      <alignment horizontal="center" wrapText="1"/>
    </xf>
    <xf numFmtId="10" fontId="14" fillId="12" borderId="54" xfId="0" applyNumberFormat="1" applyFont="1" applyFill="1" applyBorder="1"/>
    <xf numFmtId="10" fontId="14" fillId="0" borderId="3" xfId="3" applyNumberFormat="1" applyFont="1" applyBorder="1"/>
    <xf numFmtId="10" fontId="14" fillId="0" borderId="54" xfId="3" applyNumberFormat="1" applyFont="1" applyBorder="1"/>
    <xf numFmtId="10" fontId="14" fillId="0" borderId="68" xfId="0" applyNumberFormat="1" applyFont="1" applyBorder="1"/>
    <xf numFmtId="0" fontId="14" fillId="0" borderId="28" xfId="0" applyFont="1" applyBorder="1"/>
    <xf numFmtId="10" fontId="14" fillId="0" borderId="5" xfId="3" applyNumberFormat="1" applyFont="1" applyBorder="1"/>
    <xf numFmtId="10" fontId="14" fillId="0" borderId="28" xfId="3" applyNumberFormat="1" applyFont="1" applyBorder="1"/>
    <xf numFmtId="44" fontId="14" fillId="0" borderId="78" xfId="2" applyFont="1" applyBorder="1"/>
    <xf numFmtId="10" fontId="14" fillId="3" borderId="28" xfId="0" applyNumberFormat="1" applyFont="1" applyFill="1" applyBorder="1"/>
    <xf numFmtId="10" fontId="14" fillId="0" borderId="78" xfId="0" applyNumberFormat="1" applyFont="1" applyBorder="1"/>
    <xf numFmtId="10" fontId="14" fillId="0" borderId="5" xfId="0" applyNumberFormat="1" applyFont="1" applyBorder="1"/>
    <xf numFmtId="10" fontId="14" fillId="0" borderId="28" xfId="0" applyNumberFormat="1" applyFont="1" applyBorder="1"/>
    <xf numFmtId="0" fontId="14" fillId="0" borderId="69" xfId="0" applyFont="1" applyBorder="1"/>
    <xf numFmtId="9" fontId="14" fillId="0" borderId="64" xfId="0" applyNumberFormat="1" applyFont="1" applyBorder="1"/>
    <xf numFmtId="9" fontId="14" fillId="0" borderId="14" xfId="0" applyNumberFormat="1" applyFont="1" applyBorder="1"/>
    <xf numFmtId="43" fontId="14" fillId="0" borderId="5" xfId="1" applyFont="1" applyBorder="1"/>
    <xf numFmtId="0" fontId="14" fillId="0" borderId="12" xfId="0" applyFont="1" applyBorder="1"/>
    <xf numFmtId="44" fontId="14" fillId="0" borderId="14" xfId="0" applyNumberFormat="1" applyFont="1" applyBorder="1"/>
    <xf numFmtId="0" fontId="14" fillId="0" borderId="23" xfId="0" applyFont="1" applyBorder="1"/>
    <xf numFmtId="0" fontId="14" fillId="0" borderId="64" xfId="0" applyFont="1" applyBorder="1"/>
    <xf numFmtId="44" fontId="14" fillId="0" borderId="70" xfId="2" applyFont="1" applyBorder="1"/>
    <xf numFmtId="10" fontId="14" fillId="0" borderId="68" xfId="2" applyNumberFormat="1" applyFont="1" applyBorder="1"/>
    <xf numFmtId="10" fontId="14" fillId="0" borderId="54" xfId="0" applyNumberFormat="1" applyFont="1" applyBorder="1"/>
    <xf numFmtId="0" fontId="14" fillId="0" borderId="5" xfId="0" applyFont="1" applyBorder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1" xfId="0" quotePrefix="1" applyFont="1" applyBorder="1" applyAlignment="1">
      <alignment horizontal="center"/>
    </xf>
    <xf numFmtId="44" fontId="4" fillId="2" borderId="30" xfId="2" applyNumberFormat="1" applyFont="1" applyFill="1" applyBorder="1"/>
    <xf numFmtId="165" fontId="4" fillId="0" borderId="32" xfId="2" applyNumberFormat="1" applyFont="1" applyBorder="1"/>
    <xf numFmtId="165" fontId="0" fillId="0" borderId="0" xfId="0" applyNumberFormat="1"/>
    <xf numFmtId="10" fontId="4" fillId="9" borderId="35" xfId="3" applyNumberFormat="1" applyFont="1" applyFill="1" applyBorder="1"/>
    <xf numFmtId="10" fontId="4" fillId="5" borderId="0" xfId="3" applyNumberFormat="1" applyFont="1" applyFill="1" applyBorder="1"/>
    <xf numFmtId="10" fontId="4" fillId="12" borderId="35" xfId="3" applyNumberFormat="1" applyFont="1" applyFill="1" applyBorder="1"/>
    <xf numFmtId="0" fontId="3" fillId="9" borderId="28" xfId="0" applyFont="1" applyFill="1" applyBorder="1" applyAlignment="1">
      <alignment wrapText="1"/>
    </xf>
    <xf numFmtId="165" fontId="4" fillId="9" borderId="41" xfId="0" applyNumberFormat="1" applyFont="1" applyFill="1" applyBorder="1" applyAlignment="1">
      <alignment wrapText="1"/>
    </xf>
    <xf numFmtId="165" fontId="4" fillId="9" borderId="42" xfId="0" applyNumberFormat="1" applyFont="1" applyFill="1" applyBorder="1" applyAlignment="1">
      <alignment wrapText="1"/>
    </xf>
    <xf numFmtId="165" fontId="4" fillId="9" borderId="5" xfId="0" applyNumberFormat="1" applyFont="1" applyFill="1" applyBorder="1" applyAlignment="1">
      <alignment wrapText="1"/>
    </xf>
    <xf numFmtId="165" fontId="4" fillId="9" borderId="0" xfId="0" applyNumberFormat="1" applyFont="1" applyFill="1" applyBorder="1" applyAlignment="1">
      <alignment wrapText="1"/>
    </xf>
    <xf numFmtId="0" fontId="3" fillId="9" borderId="25" xfId="0" applyFont="1" applyFill="1" applyBorder="1" applyAlignment="1">
      <alignment wrapText="1"/>
    </xf>
    <xf numFmtId="10" fontId="4" fillId="9" borderId="33" xfId="3" applyNumberFormat="1" applyFont="1" applyFill="1" applyBorder="1" applyAlignment="1">
      <alignment wrapText="1"/>
    </xf>
    <xf numFmtId="9" fontId="4" fillId="9" borderId="33" xfId="3" applyFont="1" applyFill="1" applyBorder="1" applyAlignment="1">
      <alignment wrapText="1"/>
    </xf>
    <xf numFmtId="165" fontId="4" fillId="9" borderId="32" xfId="0" applyNumberFormat="1" applyFont="1" applyFill="1" applyBorder="1" applyAlignment="1">
      <alignment wrapText="1"/>
    </xf>
    <xf numFmtId="10" fontId="4" fillId="3" borderId="48" xfId="3" applyNumberFormat="1" applyFont="1" applyFill="1" applyBorder="1" applyAlignment="1">
      <alignment wrapText="1"/>
    </xf>
    <xf numFmtId="0" fontId="0" fillId="0" borderId="0" xfId="0" applyFont="1"/>
    <xf numFmtId="0" fontId="0" fillId="0" borderId="1" xfId="0" applyBorder="1"/>
    <xf numFmtId="0" fontId="0" fillId="0" borderId="3" xfId="0" quotePrefix="1" applyBorder="1"/>
    <xf numFmtId="44" fontId="0" fillId="0" borderId="4" xfId="2" applyFont="1" applyBorder="1"/>
    <xf numFmtId="44" fontId="0" fillId="0" borderId="5" xfId="2" applyFont="1" applyBorder="1"/>
    <xf numFmtId="0" fontId="0" fillId="0" borderId="4" xfId="0" applyBorder="1"/>
    <xf numFmtId="0" fontId="0" fillId="0" borderId="5" xfId="0" applyBorder="1"/>
    <xf numFmtId="44" fontId="0" fillId="0" borderId="4" xfId="0" applyNumberFormat="1" applyBorder="1"/>
    <xf numFmtId="44" fontId="0" fillId="0" borderId="5" xfId="0" applyNumberFormat="1" applyBorder="1"/>
    <xf numFmtId="10" fontId="0" fillId="0" borderId="4" xfId="3" applyNumberFormat="1" applyFont="1" applyBorder="1"/>
    <xf numFmtId="10" fontId="0" fillId="0" borderId="5" xfId="3" applyNumberFormat="1" applyFont="1" applyBorder="1"/>
    <xf numFmtId="0" fontId="0" fillId="0" borderId="0" xfId="0" applyFont="1" applyFill="1" applyBorder="1"/>
    <xf numFmtId="10" fontId="0" fillId="0" borderId="4" xfId="0" applyNumberFormat="1" applyBorder="1"/>
    <xf numFmtId="10" fontId="0" fillId="0" borderId="5" xfId="0" applyNumberFormat="1" applyBorder="1"/>
    <xf numFmtId="44" fontId="2" fillId="0" borderId="4" xfId="0" applyNumberFormat="1" applyFont="1" applyBorder="1"/>
    <xf numFmtId="44" fontId="2" fillId="0" borderId="5" xfId="0" applyNumberFormat="1" applyFont="1" applyBorder="1"/>
    <xf numFmtId="44" fontId="2" fillId="0" borderId="54" xfId="2" applyFont="1" applyBorder="1"/>
    <xf numFmtId="0" fontId="0" fillId="0" borderId="28" xfId="0" applyBorder="1"/>
    <xf numFmtId="44" fontId="0" fillId="0" borderId="4" xfId="0" applyNumberFormat="1" applyFont="1" applyBorder="1"/>
    <xf numFmtId="44" fontId="0" fillId="0" borderId="5" xfId="0" applyNumberFormat="1" applyFont="1" applyBorder="1"/>
    <xf numFmtId="0" fontId="0" fillId="0" borderId="6" xfId="0" applyFont="1" applyBorder="1"/>
    <xf numFmtId="44" fontId="2" fillId="0" borderId="10" xfId="0" applyNumberFormat="1" applyFont="1" applyBorder="1"/>
    <xf numFmtId="44" fontId="2" fillId="0" borderId="11" xfId="0" applyNumberFormat="1" applyFont="1" applyBorder="1"/>
    <xf numFmtId="44" fontId="2" fillId="0" borderId="28" xfId="2" applyFont="1" applyBorder="1"/>
    <xf numFmtId="0" fontId="0" fillId="0" borderId="0" xfId="0" quotePrefix="1" applyFont="1"/>
    <xf numFmtId="9" fontId="0" fillId="0" borderId="4" xfId="3" applyFont="1" applyBorder="1"/>
    <xf numFmtId="9" fontId="0" fillId="0" borderId="5" xfId="3" applyFont="1" applyBorder="1"/>
    <xf numFmtId="44" fontId="0" fillId="0" borderId="28" xfId="0" applyNumberFormat="1" applyBorder="1"/>
    <xf numFmtId="0" fontId="0" fillId="0" borderId="6" xfId="0" applyBorder="1"/>
    <xf numFmtId="0" fontId="2" fillId="0" borderId="12" xfId="0" applyFont="1" applyBorder="1"/>
    <xf numFmtId="0" fontId="2" fillId="0" borderId="14" xfId="0" applyFont="1" applyBorder="1"/>
    <xf numFmtId="44" fontId="2" fillId="0" borderId="64" xfId="2" applyFont="1" applyBorder="1"/>
    <xf numFmtId="0" fontId="0" fillId="0" borderId="0" xfId="0" applyFont="1" applyAlignment="1"/>
    <xf numFmtId="0" fontId="1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93" xfId="4" applyFont="1" applyBorder="1" applyAlignment="1"/>
    <xf numFmtId="44" fontId="14" fillId="0" borderId="113" xfId="2" applyFont="1" applyBorder="1" applyAlignment="1">
      <alignment horizontal="center" vertical="center"/>
    </xf>
    <xf numFmtId="44" fontId="14" fillId="0" borderId="114" xfId="2" applyFont="1" applyBorder="1" applyAlignment="1">
      <alignment horizontal="center" vertical="center"/>
    </xf>
    <xf numFmtId="43" fontId="14" fillId="0" borderId="115" xfId="1" applyFont="1" applyBorder="1" applyAlignment="1">
      <alignment horizontal="center" vertical="center"/>
    </xf>
    <xf numFmtId="43" fontId="14" fillId="0" borderId="116" xfId="1" applyFont="1" applyBorder="1" applyAlignment="1">
      <alignment horizontal="center" vertical="center"/>
    </xf>
    <xf numFmtId="43" fontId="14" fillId="0" borderId="113" xfId="1" applyFont="1" applyBorder="1" applyAlignment="1">
      <alignment horizontal="center" vertical="center"/>
    </xf>
    <xf numFmtId="43" fontId="14" fillId="0" borderId="114" xfId="1" applyFont="1" applyBorder="1" applyAlignment="1">
      <alignment horizontal="center" vertical="center"/>
    </xf>
    <xf numFmtId="43" fontId="14" fillId="0" borderId="117" xfId="1" applyFont="1" applyBorder="1" applyAlignment="1">
      <alignment horizontal="center" vertical="center"/>
    </xf>
    <xf numFmtId="44" fontId="14" fillId="0" borderId="118" xfId="2" applyFont="1" applyBorder="1"/>
    <xf numFmtId="44" fontId="14" fillId="0" borderId="119" xfId="2" applyFont="1" applyBorder="1"/>
    <xf numFmtId="44" fontId="14" fillId="0" borderId="120" xfId="2" applyFont="1" applyBorder="1"/>
    <xf numFmtId="43" fontId="14" fillId="0" borderId="121" xfId="1" applyFont="1" applyBorder="1"/>
    <xf numFmtId="44" fontId="14" fillId="0" borderId="122" xfId="2" applyFont="1" applyBorder="1"/>
    <xf numFmtId="43" fontId="14" fillId="0" borderId="119" xfId="1" applyFont="1" applyBorder="1"/>
    <xf numFmtId="43" fontId="14" fillId="0" borderId="118" xfId="1" applyFont="1" applyBorder="1"/>
    <xf numFmtId="165" fontId="14" fillId="0" borderId="120" xfId="1" applyNumberFormat="1" applyFont="1" applyBorder="1"/>
    <xf numFmtId="43" fontId="14" fillId="0" borderId="123" xfId="1" applyFont="1" applyBorder="1"/>
    <xf numFmtId="164" fontId="18" fillId="0" borderId="121" xfId="3" applyNumberFormat="1" applyFont="1" applyBorder="1" applyAlignment="1" applyProtection="1">
      <alignment horizontal="right"/>
      <protection locked="0"/>
    </xf>
    <xf numFmtId="164" fontId="18" fillId="0" borderId="119" xfId="3" applyNumberFormat="1" applyFont="1" applyBorder="1" applyAlignment="1" applyProtection="1">
      <alignment horizontal="right"/>
      <protection locked="0"/>
    </xf>
    <xf numFmtId="44" fontId="18" fillId="0" borderId="118" xfId="2" applyFont="1" applyBorder="1" applyAlignment="1" applyProtection="1">
      <alignment horizontal="right"/>
      <protection locked="0"/>
    </xf>
    <xf numFmtId="44" fontId="18" fillId="0" borderId="119" xfId="2" applyFont="1" applyBorder="1" applyAlignment="1" applyProtection="1">
      <alignment horizontal="right"/>
      <protection locked="0"/>
    </xf>
    <xf numFmtId="44" fontId="18" fillId="0" borderId="122" xfId="2" applyFont="1" applyBorder="1" applyAlignment="1" applyProtection="1">
      <alignment horizontal="right"/>
      <protection locked="0"/>
    </xf>
    <xf numFmtId="43" fontId="18" fillId="0" borderId="118" xfId="1" applyFont="1" applyBorder="1" applyAlignment="1" applyProtection="1">
      <alignment horizontal="right"/>
      <protection locked="0"/>
    </xf>
    <xf numFmtId="43" fontId="18" fillId="0" borderId="119" xfId="1" applyFont="1" applyBorder="1" applyAlignment="1" applyProtection="1">
      <alignment horizontal="right"/>
      <protection locked="0"/>
    </xf>
    <xf numFmtId="0" fontId="19" fillId="14" borderId="124" xfId="4" applyFont="1" applyFill="1" applyBorder="1" applyAlignment="1"/>
    <xf numFmtId="44" fontId="14" fillId="14" borderId="125" xfId="2" applyFont="1" applyFill="1" applyBorder="1"/>
    <xf numFmtId="44" fontId="14" fillId="14" borderId="126" xfId="2" applyFont="1" applyFill="1" applyBorder="1"/>
    <xf numFmtId="44" fontId="14" fillId="14" borderId="127" xfId="2" applyFont="1" applyFill="1" applyBorder="1"/>
    <xf numFmtId="10" fontId="14" fillId="14" borderId="128" xfId="1" applyNumberFormat="1" applyFont="1" applyFill="1" applyBorder="1"/>
    <xf numFmtId="10" fontId="14" fillId="14" borderId="129" xfId="1" applyNumberFormat="1" applyFont="1" applyFill="1" applyBorder="1"/>
    <xf numFmtId="43" fontId="14" fillId="14" borderId="127" xfId="1" applyFont="1" applyFill="1" applyBorder="1"/>
    <xf numFmtId="43" fontId="14" fillId="14" borderId="125" xfId="1" applyFont="1" applyFill="1" applyBorder="1"/>
    <xf numFmtId="43" fontId="14" fillId="14" borderId="130" xfId="1" applyFont="1" applyFill="1" applyBorder="1"/>
    <xf numFmtId="44" fontId="14" fillId="14" borderId="131" xfId="2" applyFont="1" applyFill="1" applyBorder="1"/>
    <xf numFmtId="0" fontId="18" fillId="0" borderId="93" xfId="4" applyFont="1" applyBorder="1" applyAlignment="1">
      <alignment vertical="top" wrapText="1"/>
    </xf>
    <xf numFmtId="44" fontId="18" fillId="0" borderId="118" xfId="2" applyFont="1" applyBorder="1" applyAlignment="1" applyProtection="1">
      <alignment horizontal="right" wrapText="1"/>
      <protection locked="0"/>
    </xf>
    <xf numFmtId="44" fontId="18" fillId="0" borderId="119" xfId="2" applyFont="1" applyBorder="1" applyAlignment="1" applyProtection="1">
      <alignment horizontal="right" wrapText="1"/>
      <protection locked="0"/>
    </xf>
    <xf numFmtId="44" fontId="18" fillId="0" borderId="122" xfId="2" applyFont="1" applyBorder="1" applyAlignment="1" applyProtection="1">
      <alignment horizontal="right" wrapText="1"/>
      <protection locked="0"/>
    </xf>
    <xf numFmtId="43" fontId="18" fillId="0" borderId="118" xfId="1" applyFont="1" applyBorder="1" applyAlignment="1" applyProtection="1">
      <alignment horizontal="right" wrapText="1"/>
      <protection locked="0"/>
    </xf>
    <xf numFmtId="43" fontId="18" fillId="0" borderId="119" xfId="1" applyFont="1" applyBorder="1" applyAlignment="1" applyProtection="1">
      <alignment horizontal="right" wrapText="1"/>
      <protection locked="0"/>
    </xf>
    <xf numFmtId="44" fontId="18" fillId="14" borderId="125" xfId="2" applyFont="1" applyFill="1" applyBorder="1" applyAlignment="1" applyProtection="1">
      <alignment horizontal="right"/>
      <protection locked="0"/>
    </xf>
    <xf numFmtId="44" fontId="18" fillId="14" borderId="129" xfId="2" applyFont="1" applyFill="1" applyBorder="1" applyAlignment="1" applyProtection="1">
      <alignment horizontal="right"/>
      <protection locked="0"/>
    </xf>
    <xf numFmtId="44" fontId="18" fillId="14" borderId="127" xfId="2" applyFont="1" applyFill="1" applyBorder="1" applyAlignment="1" applyProtection="1">
      <alignment horizontal="right"/>
      <protection locked="0"/>
    </xf>
    <xf numFmtId="43" fontId="18" fillId="14" borderId="125" xfId="1" applyFont="1" applyFill="1" applyBorder="1" applyAlignment="1" applyProtection="1">
      <alignment horizontal="right"/>
      <protection locked="0"/>
    </xf>
    <xf numFmtId="43" fontId="18" fillId="14" borderId="129" xfId="1" applyFont="1" applyFill="1" applyBorder="1" applyAlignment="1" applyProtection="1">
      <alignment horizontal="right"/>
      <protection locked="0"/>
    </xf>
    <xf numFmtId="44" fontId="14" fillId="14" borderId="132" xfId="2" applyFont="1" applyFill="1" applyBorder="1"/>
    <xf numFmtId="44" fontId="14" fillId="14" borderId="133" xfId="2" applyFont="1" applyFill="1" applyBorder="1"/>
    <xf numFmtId="44" fontId="14" fillId="14" borderId="134" xfId="2" applyFont="1" applyFill="1" applyBorder="1"/>
    <xf numFmtId="10" fontId="14" fillId="14" borderId="135" xfId="1" applyNumberFormat="1" applyFont="1" applyFill="1" applyBorder="1"/>
    <xf numFmtId="10" fontId="14" fillId="14" borderId="136" xfId="1" applyNumberFormat="1" applyFont="1" applyFill="1" applyBorder="1"/>
    <xf numFmtId="44" fontId="14" fillId="14" borderId="137" xfId="2" applyFont="1" applyFill="1" applyBorder="1"/>
    <xf numFmtId="43" fontId="14" fillId="14" borderId="134" xfId="1" applyFont="1" applyFill="1" applyBorder="1"/>
    <xf numFmtId="43" fontId="14" fillId="14" borderId="137" xfId="1" applyFont="1" applyFill="1" applyBorder="1"/>
    <xf numFmtId="43" fontId="14" fillId="14" borderId="138" xfId="1" applyFont="1" applyFill="1" applyBorder="1"/>
    <xf numFmtId="0" fontId="19" fillId="15" borderId="139" xfId="4" applyFont="1" applyFill="1" applyBorder="1" applyAlignment="1"/>
    <xf numFmtId="44" fontId="14" fillId="15" borderId="140" xfId="2" applyFont="1" applyFill="1" applyBorder="1"/>
    <xf numFmtId="44" fontId="14" fillId="15" borderId="141" xfId="2" applyFont="1" applyFill="1" applyBorder="1"/>
    <xf numFmtId="44" fontId="14" fillId="15" borderId="142" xfId="2" applyFont="1" applyFill="1" applyBorder="1"/>
    <xf numFmtId="10" fontId="14" fillId="15" borderId="143" xfId="1" applyNumberFormat="1" applyFont="1" applyFill="1" applyBorder="1"/>
    <xf numFmtId="10" fontId="14" fillId="15" borderId="144" xfId="1" applyNumberFormat="1" applyFont="1" applyFill="1" applyBorder="1"/>
    <xf numFmtId="44" fontId="14" fillId="15" borderId="102" xfId="2" applyFont="1" applyFill="1" applyBorder="1"/>
    <xf numFmtId="43" fontId="14" fillId="15" borderId="142" xfId="1" applyFont="1" applyFill="1" applyBorder="1"/>
    <xf numFmtId="43" fontId="14" fillId="15" borderId="57" xfId="1" applyFont="1" applyFill="1" applyBorder="1"/>
    <xf numFmtId="0" fontId="18" fillId="0" borderId="145" xfId="4" applyFont="1" applyFill="1" applyBorder="1" applyAlignment="1"/>
    <xf numFmtId="44" fontId="14" fillId="0" borderId="146" xfId="2" applyFont="1" applyBorder="1"/>
    <xf numFmtId="44" fontId="14" fillId="0" borderId="147" xfId="2" applyFont="1" applyBorder="1"/>
    <xf numFmtId="44" fontId="14" fillId="0" borderId="148" xfId="2" applyFont="1" applyBorder="1"/>
    <xf numFmtId="164" fontId="18" fillId="0" borderId="139" xfId="3" applyNumberFormat="1" applyFont="1" applyBorder="1" applyAlignment="1" applyProtection="1">
      <alignment horizontal="right"/>
      <protection locked="0"/>
    </xf>
    <xf numFmtId="164" fontId="18" fillId="0" borderId="149" xfId="3" applyNumberFormat="1" applyFont="1" applyBorder="1" applyAlignment="1" applyProtection="1">
      <alignment horizontal="right"/>
      <protection locked="0"/>
    </xf>
    <xf numFmtId="43" fontId="14" fillId="0" borderId="150" xfId="1" applyFont="1" applyBorder="1"/>
    <xf numFmtId="43" fontId="14" fillId="0" borderId="149" xfId="1" applyFont="1" applyBorder="1"/>
    <xf numFmtId="165" fontId="14" fillId="0" borderId="148" xfId="1" applyNumberFormat="1" applyFont="1" applyBorder="1"/>
    <xf numFmtId="43" fontId="14" fillId="0" borderId="146" xfId="1" applyFont="1" applyBorder="1"/>
    <xf numFmtId="43" fontId="14" fillId="0" borderId="138" xfId="1" applyFont="1" applyBorder="1"/>
    <xf numFmtId="0" fontId="19" fillId="15" borderId="124" xfId="4" applyFont="1" applyFill="1" applyBorder="1" applyAlignment="1"/>
    <xf numFmtId="44" fontId="14" fillId="15" borderId="106" xfId="2" applyFont="1" applyFill="1" applyBorder="1"/>
    <xf numFmtId="44" fontId="14" fillId="15" borderId="64" xfId="2" applyFont="1" applyFill="1" applyBorder="1"/>
    <xf numFmtId="44" fontId="14" fillId="15" borderId="108" xfId="2" applyFont="1" applyFill="1" applyBorder="1"/>
    <xf numFmtId="10" fontId="14" fillId="15" borderId="63" xfId="1" applyNumberFormat="1" applyFont="1" applyFill="1" applyBorder="1"/>
    <xf numFmtId="10" fontId="14" fillId="15" borderId="107" xfId="1" applyNumberFormat="1" applyFont="1" applyFill="1" applyBorder="1"/>
    <xf numFmtId="44" fontId="14" fillId="15" borderId="12" xfId="2" applyFont="1" applyFill="1" applyBorder="1"/>
    <xf numFmtId="43" fontId="14" fillId="15" borderId="108" xfId="1" applyFont="1" applyFill="1" applyBorder="1"/>
    <xf numFmtId="43" fontId="14" fillId="15" borderId="106" xfId="1" applyFont="1" applyFill="1" applyBorder="1"/>
    <xf numFmtId="43" fontId="14" fillId="15" borderId="151" xfId="1" applyFont="1" applyFill="1" applyBorder="1"/>
    <xf numFmtId="0" fontId="14" fillId="0" borderId="0" xfId="0" applyFont="1" applyAlignment="1"/>
    <xf numFmtId="0" fontId="14" fillId="0" borderId="1" xfId="0" applyFont="1" applyBorder="1"/>
    <xf numFmtId="0" fontId="14" fillId="0" borderId="3" xfId="0" applyFont="1" applyBorder="1"/>
    <xf numFmtId="0" fontId="14" fillId="0" borderId="0" xfId="0" applyFont="1" applyBorder="1"/>
    <xf numFmtId="0" fontId="14" fillId="0" borderId="4" xfId="0" applyFont="1" applyBorder="1"/>
    <xf numFmtId="0" fontId="14" fillId="0" borderId="112" xfId="0" applyFont="1" applyBorder="1"/>
    <xf numFmtId="0" fontId="14" fillId="0" borderId="2" xfId="0" applyFont="1" applyBorder="1"/>
    <xf numFmtId="0" fontId="14" fillId="0" borderId="93" xfId="0" applyFont="1" applyBorder="1"/>
    <xf numFmtId="43" fontId="14" fillId="0" borderId="94" xfId="1" applyFont="1" applyBorder="1"/>
    <xf numFmtId="43" fontId="14" fillId="0" borderId="32" xfId="1" applyFont="1" applyBorder="1"/>
    <xf numFmtId="43" fontId="14" fillId="0" borderId="33" xfId="1" applyFont="1" applyBorder="1"/>
    <xf numFmtId="43" fontId="14" fillId="0" borderId="93" xfId="1" applyFont="1" applyBorder="1"/>
    <xf numFmtId="43" fontId="14" fillId="0" borderId="31" xfId="1" applyFont="1" applyBorder="1"/>
    <xf numFmtId="167" fontId="14" fillId="0" borderId="94" xfId="1" applyNumberFormat="1" applyFont="1" applyBorder="1"/>
    <xf numFmtId="167" fontId="14" fillId="0" borderId="32" xfId="1" applyNumberFormat="1" applyFont="1" applyBorder="1"/>
    <xf numFmtId="167" fontId="14" fillId="0" borderId="33" xfId="1" applyNumberFormat="1" applyFont="1" applyBorder="1"/>
    <xf numFmtId="167" fontId="14" fillId="0" borderId="93" xfId="1" applyNumberFormat="1" applyFont="1" applyBorder="1"/>
    <xf numFmtId="0" fontId="14" fillId="0" borderId="94" xfId="1" applyNumberFormat="1" applyFont="1" applyBorder="1"/>
    <xf numFmtId="0" fontId="14" fillId="0" borderId="100" xfId="0" applyFont="1" applyBorder="1"/>
    <xf numFmtId="167" fontId="14" fillId="0" borderId="101" xfId="1" applyNumberFormat="1" applyFont="1" applyBorder="1"/>
    <xf numFmtId="167" fontId="14" fillId="0" borderId="51" xfId="1" applyNumberFormat="1" applyFont="1" applyBorder="1"/>
    <xf numFmtId="167" fontId="14" fillId="0" borderId="49" xfId="1" applyNumberFormat="1" applyFont="1" applyBorder="1"/>
    <xf numFmtId="167" fontId="14" fillId="0" borderId="100" xfId="1" applyNumberFormat="1" applyFont="1" applyBorder="1"/>
    <xf numFmtId="43" fontId="14" fillId="0" borderId="101" xfId="1" applyFont="1" applyBorder="1"/>
    <xf numFmtId="43" fontId="14" fillId="0" borderId="51" xfId="1" applyFont="1" applyBorder="1"/>
    <xf numFmtId="43" fontId="14" fillId="0" borderId="49" xfId="1" applyFont="1" applyBorder="1"/>
    <xf numFmtId="43" fontId="14" fillId="0" borderId="50" xfId="1" applyFont="1" applyBorder="1"/>
    <xf numFmtId="0" fontId="14" fillId="0" borderId="58" xfId="0" applyFont="1" applyBorder="1"/>
    <xf numFmtId="167" fontId="14" fillId="0" borderId="102" xfId="1" applyNumberFormat="1" applyFont="1" applyBorder="1"/>
    <xf numFmtId="167" fontId="14" fillId="0" borderId="103" xfId="1" applyNumberFormat="1" applyFont="1" applyBorder="1"/>
    <xf numFmtId="167" fontId="14" fillId="0" borderId="104" xfId="1" applyNumberFormat="1" applyFont="1" applyBorder="1"/>
    <xf numFmtId="10" fontId="14" fillId="0" borderId="143" xfId="1" applyNumberFormat="1" applyFont="1" applyFill="1" applyBorder="1"/>
    <xf numFmtId="167" fontId="14" fillId="0" borderId="106" xfId="1" applyNumberFormat="1" applyFont="1" applyBorder="1"/>
    <xf numFmtId="167" fontId="14" fillId="0" borderId="107" xfId="1" applyNumberFormat="1" applyFont="1" applyBorder="1"/>
    <xf numFmtId="167" fontId="14" fillId="0" borderId="108" xfId="1" applyNumberFormat="1" applyFont="1" applyBorder="1"/>
    <xf numFmtId="10" fontId="14" fillId="0" borderId="22" xfId="1" applyNumberFormat="1" applyFont="1" applyFill="1" applyBorder="1"/>
    <xf numFmtId="43" fontId="14" fillId="0" borderId="104" xfId="1" applyFont="1" applyBorder="1"/>
    <xf numFmtId="43" fontId="14" fillId="0" borderId="103" xfId="1" applyFont="1" applyBorder="1"/>
    <xf numFmtId="43" fontId="14" fillId="0" borderId="102" xfId="1" applyFont="1" applyBorder="1"/>
    <xf numFmtId="43" fontId="14" fillId="0" borderId="57" xfId="1" applyFont="1" applyBorder="1"/>
    <xf numFmtId="167" fontId="14" fillId="0" borderId="57" xfId="1" applyNumberFormat="1" applyFont="1" applyBorder="1"/>
    <xf numFmtId="10" fontId="14" fillId="0" borderId="144" xfId="1" applyNumberFormat="1" applyFont="1" applyFill="1" applyBorder="1"/>
    <xf numFmtId="0" fontId="14" fillId="0" borderId="124" xfId="0" applyFont="1" applyBorder="1"/>
    <xf numFmtId="44" fontId="14" fillId="0" borderId="152" xfId="2" applyFont="1" applyFill="1" applyBorder="1"/>
    <xf numFmtId="44" fontId="14" fillId="0" borderId="51" xfId="2" applyFont="1" applyFill="1" applyBorder="1"/>
    <xf numFmtId="44" fontId="14" fillId="0" borderId="153" xfId="2" applyFont="1" applyFill="1" applyBorder="1"/>
    <xf numFmtId="10" fontId="14" fillId="0" borderId="124" xfId="1" applyNumberFormat="1" applyFont="1" applyFill="1" applyBorder="1"/>
    <xf numFmtId="44" fontId="14" fillId="0" borderId="154" xfId="2" applyFont="1" applyFill="1" applyBorder="1"/>
    <xf numFmtId="44" fontId="14" fillId="0" borderId="101" xfId="2" applyFont="1" applyBorder="1"/>
    <xf numFmtId="44" fontId="14" fillId="16" borderId="153" xfId="2" applyFont="1" applyFill="1" applyBorder="1"/>
    <xf numFmtId="44" fontId="14" fillId="16" borderId="154" xfId="2" applyFont="1" applyFill="1" applyBorder="1"/>
    <xf numFmtId="44" fontId="14" fillId="0" borderId="152" xfId="2" applyFont="1" applyBorder="1"/>
    <xf numFmtId="44" fontId="14" fillId="0" borderId="155" xfId="2" applyFont="1" applyBorder="1"/>
    <xf numFmtId="44" fontId="14" fillId="0" borderId="155" xfId="2" applyFont="1" applyFill="1" applyBorder="1"/>
    <xf numFmtId="44" fontId="14" fillId="0" borderId="154" xfId="2" applyFont="1" applyBorder="1"/>
    <xf numFmtId="44" fontId="14" fillId="0" borderId="15" xfId="2" applyFont="1" applyFill="1" applyBorder="1"/>
    <xf numFmtId="44" fontId="14" fillId="0" borderId="15" xfId="2" applyFont="1" applyBorder="1"/>
    <xf numFmtId="44" fontId="14" fillId="0" borderId="16" xfId="2" applyFont="1" applyBorder="1"/>
    <xf numFmtId="44" fontId="14" fillId="0" borderId="24" xfId="2" applyFont="1" applyBorder="1"/>
    <xf numFmtId="0" fontId="14" fillId="0" borderId="15" xfId="0" applyFont="1" applyBorder="1"/>
    <xf numFmtId="0" fontId="14" fillId="0" borderId="14" xfId="0" applyFont="1" applyBorder="1"/>
    <xf numFmtId="0" fontId="14" fillId="0" borderId="13" xfId="0" applyFont="1" applyBorder="1"/>
    <xf numFmtId="3" fontId="20" fillId="11" borderId="0" xfId="0" applyNumberFormat="1" applyFont="1" applyFill="1" applyProtection="1">
      <protection locked="0"/>
    </xf>
    <xf numFmtId="44" fontId="20" fillId="11" borderId="0" xfId="2" applyFont="1" applyFill="1" applyProtection="1">
      <protection locked="0"/>
    </xf>
    <xf numFmtId="3" fontId="21" fillId="11" borderId="0" xfId="0" applyNumberFormat="1" applyFont="1" applyFill="1" applyProtection="1">
      <protection locked="0"/>
    </xf>
    <xf numFmtId="44" fontId="4" fillId="0" borderId="16" xfId="2" applyFont="1" applyBorder="1"/>
    <xf numFmtId="44" fontId="4" fillId="0" borderId="25" xfId="2" applyFont="1" applyBorder="1"/>
    <xf numFmtId="10" fontId="4" fillId="0" borderId="48" xfId="3" applyNumberFormat="1" applyFont="1" applyBorder="1"/>
    <xf numFmtId="0" fontId="0" fillId="17" borderId="0" xfId="0" applyFill="1"/>
    <xf numFmtId="15" fontId="22" fillId="0" borderId="0" xfId="0" quotePrefix="1" applyNumberFormat="1" applyFont="1"/>
    <xf numFmtId="14" fontId="2" fillId="0" borderId="0" xfId="0" applyNumberFormat="1" applyFont="1" applyAlignment="1">
      <alignment horizontal="left"/>
    </xf>
    <xf numFmtId="168" fontId="0" fillId="18" borderId="0" xfId="0" applyNumberFormat="1" applyFont="1" applyFill="1"/>
    <xf numFmtId="0" fontId="0" fillId="19" borderId="0" xfId="0" applyFont="1" applyFill="1"/>
    <xf numFmtId="168" fontId="0" fillId="18" borderId="6" xfId="0" applyNumberFormat="1" applyFont="1" applyFill="1" applyBorder="1"/>
    <xf numFmtId="168" fontId="0" fillId="19" borderId="6" xfId="0" applyNumberFormat="1" applyFont="1" applyFill="1" applyBorder="1"/>
    <xf numFmtId="168" fontId="0" fillId="0" borderId="0" xfId="0" applyNumberFormat="1" applyFont="1"/>
    <xf numFmtId="44" fontId="0" fillId="18" borderId="0" xfId="2" applyFont="1" applyFill="1"/>
    <xf numFmtId="44" fontId="0" fillId="19" borderId="0" xfId="0" applyNumberFormat="1" applyFont="1" applyFill="1"/>
    <xf numFmtId="167" fontId="0" fillId="18" borderId="0" xfId="1" applyNumberFormat="1" applyFont="1" applyFill="1"/>
    <xf numFmtId="167" fontId="0" fillId="19" borderId="0" xfId="1" applyNumberFormat="1" applyFont="1" applyFill="1"/>
    <xf numFmtId="167" fontId="0" fillId="0" borderId="0" xfId="1" applyNumberFormat="1" applyFont="1"/>
    <xf numFmtId="44" fontId="2" fillId="0" borderId="0" xfId="2" applyNumberFormat="1" applyFont="1"/>
    <xf numFmtId="169" fontId="2" fillId="0" borderId="0" xfId="2" applyNumberFormat="1" applyFont="1"/>
    <xf numFmtId="164" fontId="0" fillId="20" borderId="0" xfId="3" applyNumberFormat="1" applyFont="1" applyFill="1"/>
    <xf numFmtId="164" fontId="0" fillId="21" borderId="0" xfId="3" applyNumberFormat="1" applyFont="1" applyFill="1"/>
    <xf numFmtId="44" fontId="2" fillId="0" borderId="0" xfId="2" applyFont="1"/>
    <xf numFmtId="44" fontId="2" fillId="0" borderId="6" xfId="2" applyFont="1" applyBorder="1"/>
    <xf numFmtId="10" fontId="0" fillId="0" borderId="0" xfId="3" applyNumberFormat="1" applyFont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65" xfId="0" applyFont="1" applyBorder="1" applyAlignment="1">
      <alignment horizontal="left" wrapText="1"/>
    </xf>
    <xf numFmtId="0" fontId="4" fillId="0" borderId="67" xfId="0" applyFont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44" fontId="4" fillId="0" borderId="82" xfId="2" applyFont="1" applyBorder="1" applyAlignment="1">
      <alignment horizontal="center"/>
    </xf>
    <xf numFmtId="44" fontId="4" fillId="0" borderId="72" xfId="2" applyFont="1" applyBorder="1" applyAlignment="1">
      <alignment horizontal="center"/>
    </xf>
    <xf numFmtId="44" fontId="4" fillId="0" borderId="79" xfId="2" applyFont="1" applyBorder="1" applyAlignment="1">
      <alignment horizontal="center"/>
    </xf>
    <xf numFmtId="0" fontId="4" fillId="0" borderId="83" xfId="0" applyFont="1" applyBorder="1" applyAlignment="1">
      <alignment horizontal="left" wrapText="1"/>
    </xf>
    <xf numFmtId="0" fontId="4" fillId="0" borderId="71" xfId="0" applyFont="1" applyBorder="1" applyAlignment="1">
      <alignment horizontal="left" wrapText="1"/>
    </xf>
    <xf numFmtId="0" fontId="4" fillId="0" borderId="8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65" xfId="0" applyFont="1" applyBorder="1" applyAlignment="1">
      <alignment horizontal="left" wrapText="1"/>
    </xf>
    <xf numFmtId="0" fontId="14" fillId="0" borderId="67" xfId="0" applyFont="1" applyBorder="1" applyAlignment="1">
      <alignment horizontal="left" wrapText="1"/>
    </xf>
    <xf numFmtId="0" fontId="14" fillId="0" borderId="69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4" fillId="0" borderId="77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B1D5A727-2741-4EA8-B41F-E46E928752A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%20Reports\2017\Audited%20Cost%20Reports\BMS%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"/>
      <sheetName val="Notes to Schedule A"/>
      <sheetName val="Schedule B"/>
      <sheetName val="Notes to Schedule B"/>
      <sheetName val="Schedule C"/>
      <sheetName val="Service List"/>
      <sheetName val="1010 (DHS)"/>
      <sheetName val="Attachment 1 - 1010B (DSS)"/>
      <sheetName val="1020 (DHS)"/>
      <sheetName val="Attachment 1 - 1020B (DSS)"/>
      <sheetName val="1040 (DHS)"/>
      <sheetName val="Attachment 1 - 1040B (DSS)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Early Intervention/Individual</v>
          </cell>
        </row>
        <row r="2">
          <cell r="D2" t="str">
            <v>Group/IOP</v>
          </cell>
        </row>
        <row r="3">
          <cell r="D3" t="str">
            <v>Recovery Support</v>
          </cell>
        </row>
        <row r="4">
          <cell r="D4" t="str">
            <v>Day Treatment</v>
          </cell>
        </row>
        <row r="5">
          <cell r="D5" t="str">
            <v>Residential Intensive Inpatient</v>
          </cell>
        </row>
        <row r="6">
          <cell r="D6" t="str">
            <v>Clinically Managed Low Int. Residential</v>
          </cell>
        </row>
        <row r="7">
          <cell r="D7" t="str">
            <v>Intensive METH Tx Program</v>
          </cell>
        </row>
        <row r="8">
          <cell r="D8" t="str">
            <v>Detox</v>
          </cell>
        </row>
        <row r="9">
          <cell r="D9" t="str">
            <v>Medical Detox</v>
          </cell>
        </row>
        <row r="10">
          <cell r="D10" t="str">
            <v>Specialized METH Mentor Srvs</v>
          </cell>
        </row>
        <row r="11">
          <cell r="D11" t="str">
            <v>CJI - CBISA</v>
          </cell>
        </row>
        <row r="12">
          <cell r="D12" t="str">
            <v>CJI - MRT</v>
          </cell>
        </row>
        <row r="13">
          <cell r="D13" t="str">
            <v>CJI - CBISA Telebased</v>
          </cell>
        </row>
        <row r="14">
          <cell r="D14" t="str">
            <v>CJI - MRT Telebased</v>
          </cell>
        </row>
        <row r="15">
          <cell r="D15" t="str">
            <v>Environmental</v>
          </cell>
        </row>
        <row r="16">
          <cell r="D16" t="str">
            <v>Interpreter Srvs</v>
          </cell>
        </row>
        <row r="17">
          <cell r="D17" t="str">
            <v>Highway Safety</v>
          </cell>
        </row>
        <row r="18">
          <cell r="D18" t="str">
            <v>Information Dissemination</v>
          </cell>
        </row>
        <row r="19">
          <cell r="D19" t="str">
            <v>Education</v>
          </cell>
        </row>
        <row r="20">
          <cell r="D20" t="str">
            <v>Community Based</v>
          </cell>
        </row>
        <row r="21">
          <cell r="D21" t="str">
            <v>Alternatives</v>
          </cell>
        </row>
        <row r="22">
          <cell r="D22" t="str">
            <v>Problem ID and Referral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E148-7FF1-4FEA-8652-45F5ECF24F77}">
  <dimension ref="A1:L55"/>
  <sheetViews>
    <sheetView view="pageBreakPreview" zoomScale="60" zoomScaleNormal="70" workbookViewId="0">
      <selection activeCell="B4" sqref="B4"/>
    </sheetView>
  </sheetViews>
  <sheetFormatPr defaultRowHeight="14.4" x14ac:dyDescent="0.3"/>
  <cols>
    <col min="2" max="2" width="91.6640625" bestFit="1" customWidth="1"/>
    <col min="3" max="3" width="41.33203125" bestFit="1" customWidth="1"/>
    <col min="4" max="4" width="41.33203125" customWidth="1"/>
    <col min="5" max="6" width="22.88671875" hidden="1" customWidth="1"/>
    <col min="7" max="7" width="3.6640625" customWidth="1"/>
    <col min="8" max="8" width="74" bestFit="1" customWidth="1"/>
    <col min="9" max="9" width="33.33203125" customWidth="1"/>
    <col min="10" max="10" width="17.88671875" bestFit="1" customWidth="1"/>
    <col min="11" max="11" width="15.88671875" hidden="1" customWidth="1"/>
    <col min="12" max="12" width="12.88671875" bestFit="1" customWidth="1"/>
  </cols>
  <sheetData>
    <row r="1" spans="1:11" ht="23.4" x14ac:dyDescent="0.45">
      <c r="B1" s="1" t="s">
        <v>0</v>
      </c>
    </row>
    <row r="2" spans="1:11" ht="23.4" x14ac:dyDescent="0.45">
      <c r="A2" s="2"/>
      <c r="B2" s="3" t="s">
        <v>1</v>
      </c>
      <c r="C2" s="2"/>
      <c r="D2" s="2"/>
      <c r="E2" s="2"/>
      <c r="F2" s="2"/>
      <c r="G2" s="2"/>
    </row>
    <row r="3" spans="1:11" ht="23.4" x14ac:dyDescent="0.45">
      <c r="A3" s="2"/>
      <c r="B3" s="4" t="s">
        <v>311</v>
      </c>
      <c r="C3" s="2"/>
      <c r="D3" s="2"/>
      <c r="E3" s="2"/>
      <c r="F3" s="2"/>
      <c r="G3" s="2"/>
    </row>
    <row r="4" spans="1:11" ht="23.4" x14ac:dyDescent="0.45">
      <c r="A4" s="2"/>
      <c r="B4" s="5"/>
      <c r="C4" s="2"/>
      <c r="D4" s="2"/>
      <c r="E4" s="2"/>
      <c r="F4" s="2"/>
      <c r="G4" s="2"/>
    </row>
    <row r="5" spans="1:11" ht="24" thickBot="1" x14ac:dyDescent="0.5">
      <c r="A5" s="2"/>
      <c r="B5" s="6" t="s">
        <v>2</v>
      </c>
      <c r="C5" s="7"/>
      <c r="D5" s="7"/>
      <c r="E5" s="2"/>
      <c r="F5" s="2"/>
      <c r="G5" s="2"/>
    </row>
    <row r="6" spans="1:11" ht="23.4" x14ac:dyDescent="0.45">
      <c r="A6" s="2"/>
      <c r="B6" s="8" t="s">
        <v>3</v>
      </c>
      <c r="C6" s="9">
        <f>D6*(2080*(2/3))</f>
        <v>226331.73333333331</v>
      </c>
      <c r="D6" s="10">
        <v>163.22</v>
      </c>
      <c r="F6" s="11" t="s">
        <v>4</v>
      </c>
      <c r="G6" s="7"/>
    </row>
    <row r="7" spans="1:11" ht="23.4" x14ac:dyDescent="0.45">
      <c r="A7" s="2"/>
      <c r="B7" s="12" t="s">
        <v>5</v>
      </c>
      <c r="C7" s="13">
        <f>39.34*(2080*(1/3))</f>
        <v>27275.733333333334</v>
      </c>
      <c r="D7" s="14">
        <v>39.340000000000003</v>
      </c>
      <c r="F7" s="15"/>
      <c r="G7" s="7"/>
    </row>
    <row r="8" spans="1:11" ht="23.4" x14ac:dyDescent="0.45">
      <c r="A8" s="2"/>
      <c r="B8" s="12" t="s">
        <v>6</v>
      </c>
      <c r="C8" s="16">
        <v>36670.199999999997</v>
      </c>
      <c r="D8" s="17"/>
      <c r="E8" s="15"/>
      <c r="F8" s="15"/>
      <c r="G8" s="7"/>
    </row>
    <row r="9" spans="1:11" ht="23.4" x14ac:dyDescent="0.45">
      <c r="A9" s="2"/>
      <c r="B9" s="12" t="s">
        <v>7</v>
      </c>
      <c r="C9" s="13">
        <f>SUM(C6:C8)</f>
        <v>290277.66666666663</v>
      </c>
      <c r="D9" s="13"/>
      <c r="E9" s="15"/>
      <c r="F9" s="15"/>
      <c r="G9" s="7"/>
    </row>
    <row r="10" spans="1:11" ht="23.4" x14ac:dyDescent="0.45">
      <c r="A10" s="2"/>
      <c r="B10" s="12"/>
      <c r="C10" s="18"/>
      <c r="D10" s="18"/>
      <c r="E10" s="15"/>
      <c r="F10" s="15"/>
      <c r="G10" s="7"/>
    </row>
    <row r="11" spans="1:11" ht="23.4" x14ac:dyDescent="0.45">
      <c r="A11" s="2"/>
      <c r="B11" s="12"/>
      <c r="C11" s="19"/>
      <c r="D11" s="19"/>
      <c r="E11" s="15"/>
      <c r="F11" s="15"/>
      <c r="G11" s="7"/>
    </row>
    <row r="12" spans="1:11" ht="23.4" x14ac:dyDescent="0.45">
      <c r="A12" s="2"/>
      <c r="B12" s="12" t="s">
        <v>7</v>
      </c>
      <c r="C12" s="20">
        <f>C9</f>
        <v>290277.66666666663</v>
      </c>
      <c r="D12" s="20"/>
      <c r="E12" s="15"/>
      <c r="F12" s="15"/>
      <c r="G12" s="7"/>
    </row>
    <row r="13" spans="1:11" ht="23.4" x14ac:dyDescent="0.45">
      <c r="A13" s="2"/>
      <c r="B13" s="12" t="s">
        <v>8</v>
      </c>
      <c r="C13" s="21">
        <f>Psychiatric!U23</f>
        <v>24595.509077336228</v>
      </c>
      <c r="D13" s="21"/>
      <c r="E13" s="15"/>
      <c r="F13" s="15"/>
      <c r="G13" s="7"/>
    </row>
    <row r="14" spans="1:11" ht="23.4" x14ac:dyDescent="0.45">
      <c r="A14" s="2"/>
      <c r="B14" s="12" t="s">
        <v>9</v>
      </c>
      <c r="C14" s="13">
        <f>SUM(C12:C13)</f>
        <v>314873.17574400286</v>
      </c>
      <c r="D14" s="13"/>
      <c r="E14" s="15"/>
      <c r="F14" s="15"/>
      <c r="G14" s="7"/>
      <c r="H14" s="2"/>
      <c r="I14" s="2"/>
      <c r="J14" s="2"/>
      <c r="K14" s="2"/>
    </row>
    <row r="15" spans="1:11" ht="24" thickBot="1" x14ac:dyDescent="0.5">
      <c r="A15" s="2"/>
      <c r="B15" s="12"/>
      <c r="C15" s="13"/>
      <c r="D15" s="13"/>
      <c r="E15" s="15"/>
      <c r="F15" s="15"/>
      <c r="G15" s="7"/>
      <c r="H15" s="2"/>
      <c r="I15" s="2"/>
      <c r="J15" s="2"/>
      <c r="K15" s="2"/>
    </row>
    <row r="16" spans="1:11" ht="23.4" x14ac:dyDescent="0.45">
      <c r="A16" s="2"/>
      <c r="B16" s="12" t="s">
        <v>10</v>
      </c>
      <c r="C16" s="22">
        <v>1</v>
      </c>
      <c r="D16" s="23">
        <f>C52</f>
        <v>0.53119090909090905</v>
      </c>
      <c r="E16" s="24">
        <v>0.5</v>
      </c>
      <c r="F16" s="25">
        <v>0.46527770022560488</v>
      </c>
      <c r="G16" s="26"/>
      <c r="H16" s="8"/>
      <c r="I16" s="27" t="s">
        <v>11</v>
      </c>
      <c r="J16" s="11"/>
      <c r="K16" s="11"/>
    </row>
    <row r="17" spans="1:12" ht="23.4" x14ac:dyDescent="0.45">
      <c r="A17" s="2"/>
      <c r="B17" s="12"/>
      <c r="C17" s="28">
        <v>2080</v>
      </c>
      <c r="D17" s="28">
        <f>C17*D16</f>
        <v>1104.8770909090908</v>
      </c>
      <c r="E17" s="15">
        <v>1040</v>
      </c>
      <c r="F17" s="29">
        <f>F16*C17</f>
        <v>967.77761646925819</v>
      </c>
      <c r="G17" s="7"/>
      <c r="H17" s="12" t="s">
        <v>12</v>
      </c>
      <c r="I17" s="22">
        <v>1</v>
      </c>
      <c r="J17" s="23">
        <f>C52</f>
        <v>0.53119090909090905</v>
      </c>
      <c r="K17" s="30">
        <v>0.46527770022560488</v>
      </c>
    </row>
    <row r="18" spans="1:12" ht="23.4" x14ac:dyDescent="0.45">
      <c r="A18" s="2"/>
      <c r="B18" s="12"/>
      <c r="C18" s="7"/>
      <c r="D18" s="7"/>
      <c r="E18" s="15"/>
      <c r="F18" s="15"/>
      <c r="G18" s="7"/>
      <c r="H18" s="12"/>
      <c r="I18" s="28">
        <v>2080</v>
      </c>
      <c r="J18" s="28">
        <f>I18*J17</f>
        <v>1104.8770909090908</v>
      </c>
      <c r="K18" s="15">
        <f>K17*I18</f>
        <v>967.77761646925819</v>
      </c>
    </row>
    <row r="19" spans="1:12" ht="23.4" x14ac:dyDescent="0.45">
      <c r="A19" s="2"/>
      <c r="B19" s="31" t="s">
        <v>13</v>
      </c>
      <c r="C19" s="7"/>
      <c r="D19" s="7"/>
      <c r="E19" s="15"/>
      <c r="F19" s="15"/>
      <c r="G19" s="7"/>
      <c r="H19" s="32" t="s">
        <v>14</v>
      </c>
      <c r="I19" s="33">
        <f>C20</f>
        <v>151.38</v>
      </c>
      <c r="J19" s="34">
        <f>D20</f>
        <v>284.98</v>
      </c>
      <c r="K19" s="34">
        <f t="shared" ref="K19:K20" si="0">F20</f>
        <v>325.36</v>
      </c>
    </row>
    <row r="20" spans="1:12" ht="23.4" x14ac:dyDescent="0.45">
      <c r="A20" s="2"/>
      <c r="B20" s="32" t="s">
        <v>14</v>
      </c>
      <c r="C20" s="35">
        <f>ROUND((C14/C17),2)</f>
        <v>151.38</v>
      </c>
      <c r="D20" s="35">
        <f>ROUND((C14/D17),2)</f>
        <v>284.98</v>
      </c>
      <c r="E20" s="36">
        <f>ROUND((C14/E17),2)</f>
        <v>302.76</v>
      </c>
      <c r="F20" s="36">
        <f>ROUND((C14/F17),2)</f>
        <v>325.36</v>
      </c>
      <c r="G20" s="37"/>
      <c r="H20" s="38" t="s">
        <v>15</v>
      </c>
      <c r="I20" s="39">
        <f>C21</f>
        <v>37.85</v>
      </c>
      <c r="J20" s="40">
        <f>D21</f>
        <v>71.25</v>
      </c>
      <c r="K20" s="40">
        <f t="shared" si="0"/>
        <v>81.34</v>
      </c>
    </row>
    <row r="21" spans="1:12" ht="23.4" x14ac:dyDescent="0.45">
      <c r="A21" s="2"/>
      <c r="B21" s="12" t="s">
        <v>15</v>
      </c>
      <c r="C21" s="41">
        <f>ROUND((C20/4),2)</f>
        <v>37.85</v>
      </c>
      <c r="D21" s="41">
        <f>ROUND((D20/4),2)</f>
        <v>71.25</v>
      </c>
      <c r="E21" s="42">
        <f>ROUND((E20/4),2)</f>
        <v>75.69</v>
      </c>
      <c r="F21" s="42">
        <f>ROUND((F20/4),2)</f>
        <v>81.34</v>
      </c>
      <c r="G21" s="41"/>
      <c r="H21" s="12" t="s">
        <v>16</v>
      </c>
      <c r="I21" s="43">
        <f>I19*0.9</f>
        <v>136.24199999999999</v>
      </c>
      <c r="J21" s="44">
        <f>J19*0.9</f>
        <v>256.48200000000003</v>
      </c>
      <c r="K21" s="44">
        <f>K19*0.9</f>
        <v>292.82400000000001</v>
      </c>
    </row>
    <row r="22" spans="1:12" ht="23.4" x14ac:dyDescent="0.45">
      <c r="A22" s="2"/>
      <c r="B22" s="12"/>
      <c r="C22" s="37"/>
      <c r="D22" s="37"/>
      <c r="E22" s="15"/>
      <c r="F22" s="15"/>
      <c r="G22" s="7"/>
      <c r="H22" s="12" t="s">
        <v>17</v>
      </c>
      <c r="I22" s="43">
        <f>I21/4</f>
        <v>34.060499999999998</v>
      </c>
      <c r="J22" s="44">
        <f>J21/4</f>
        <v>64.120500000000007</v>
      </c>
      <c r="K22" s="44">
        <f>K21/4</f>
        <v>73.206000000000003</v>
      </c>
    </row>
    <row r="23" spans="1:12" ht="23.4" x14ac:dyDescent="0.45">
      <c r="A23" s="2"/>
      <c r="B23" s="12" t="s">
        <v>18</v>
      </c>
      <c r="C23" s="45">
        <v>2.07E-2</v>
      </c>
      <c r="D23" s="45">
        <v>2.07E-2</v>
      </c>
      <c r="E23" s="46">
        <v>2.07E-2</v>
      </c>
      <c r="F23" s="46">
        <v>2.07E-2</v>
      </c>
      <c r="G23" s="45"/>
      <c r="H23" s="12"/>
      <c r="I23" s="7"/>
      <c r="J23" s="15"/>
      <c r="K23" s="15"/>
    </row>
    <row r="24" spans="1:12" ht="23.4" x14ac:dyDescent="0.45">
      <c r="A24" s="2"/>
      <c r="B24" s="12" t="s">
        <v>19</v>
      </c>
      <c r="C24" s="47">
        <f>ROUND((C21*(1+C23)),2)</f>
        <v>38.630000000000003</v>
      </c>
      <c r="D24" s="47">
        <f>ROUND((D21*(1+D23)),2)</f>
        <v>72.72</v>
      </c>
      <c r="E24" s="48">
        <f>ROUND((E21*(1+E23)),2)</f>
        <v>77.260000000000005</v>
      </c>
      <c r="F24" s="48">
        <f>ROUND((F21*(1+F23)),2)</f>
        <v>83.02</v>
      </c>
      <c r="G24" s="47"/>
      <c r="H24" s="12" t="s">
        <v>18</v>
      </c>
      <c r="I24" s="49">
        <v>2.07E-2</v>
      </c>
      <c r="J24" s="50">
        <v>2.07E-2</v>
      </c>
      <c r="K24" s="46">
        <v>2.07E-2</v>
      </c>
    </row>
    <row r="25" spans="1:12" ht="23.4" x14ac:dyDescent="0.45">
      <c r="A25" s="2"/>
      <c r="B25" s="12"/>
      <c r="C25" s="47"/>
      <c r="D25" s="47"/>
      <c r="E25" s="48"/>
      <c r="F25" s="48"/>
      <c r="G25" s="7"/>
      <c r="H25" s="12" t="s">
        <v>20</v>
      </c>
      <c r="I25" s="47">
        <f>ROUND((I22*(1+I24)),2)</f>
        <v>34.770000000000003</v>
      </c>
      <c r="J25" s="48">
        <f>ROUND((J22*(1+J24)),2)</f>
        <v>65.45</v>
      </c>
      <c r="K25" s="48">
        <f>ROUND((K22*(1+K24)),2)</f>
        <v>74.72</v>
      </c>
    </row>
    <row r="26" spans="1:12" ht="23.4" x14ac:dyDescent="0.45">
      <c r="A26" s="2"/>
      <c r="B26" s="12" t="s">
        <v>21</v>
      </c>
      <c r="C26" s="47">
        <v>56.88</v>
      </c>
      <c r="D26" s="47"/>
      <c r="E26" s="15"/>
      <c r="F26" s="15"/>
      <c r="G26" s="7"/>
      <c r="H26" s="51" t="s">
        <v>22</v>
      </c>
      <c r="I26" s="47">
        <v>51.23</v>
      </c>
      <c r="J26" s="48"/>
      <c r="K26" s="48"/>
    </row>
    <row r="27" spans="1:12" ht="24" thickBot="1" x14ac:dyDescent="0.5">
      <c r="A27" s="2"/>
      <c r="B27" s="52" t="s">
        <v>23</v>
      </c>
      <c r="C27" s="53">
        <v>58.02</v>
      </c>
      <c r="D27" s="53"/>
      <c r="E27" s="54"/>
      <c r="F27" s="54"/>
      <c r="G27" s="2"/>
      <c r="H27" s="55" t="s">
        <v>24</v>
      </c>
      <c r="I27" s="53">
        <v>52.25</v>
      </c>
      <c r="J27" s="54"/>
      <c r="K27" s="54"/>
    </row>
    <row r="28" spans="1:12" ht="23.4" x14ac:dyDescent="0.45">
      <c r="A28" s="2"/>
      <c r="B28" s="2"/>
      <c r="C28" s="56"/>
      <c r="D28" s="56"/>
      <c r="E28" s="2"/>
      <c r="F28" s="2"/>
      <c r="G28" s="7"/>
      <c r="H28" s="7"/>
      <c r="I28" s="7"/>
      <c r="J28" s="7"/>
      <c r="K28" s="7"/>
      <c r="L28" s="57"/>
    </row>
    <row r="29" spans="1:12" ht="24" thickBot="1" x14ac:dyDescent="0.5">
      <c r="A29" s="2"/>
      <c r="B29" s="2"/>
      <c r="C29" s="2"/>
      <c r="D29" s="2"/>
      <c r="E29" s="2"/>
      <c r="F29" s="2"/>
      <c r="G29" s="7"/>
      <c r="H29" s="2" t="s">
        <v>25</v>
      </c>
      <c r="I29" s="2"/>
      <c r="J29" s="2"/>
      <c r="K29" s="2"/>
      <c r="L29" s="57"/>
    </row>
    <row r="30" spans="1:12" ht="23.4" x14ac:dyDescent="0.45">
      <c r="A30" s="2"/>
      <c r="B30" s="8" t="s">
        <v>25</v>
      </c>
      <c r="C30" s="27"/>
      <c r="D30" s="27"/>
      <c r="E30" s="27"/>
      <c r="F30" s="11"/>
      <c r="G30" s="7"/>
      <c r="H30" s="8"/>
      <c r="I30" s="27" t="s">
        <v>11</v>
      </c>
      <c r="J30" s="11"/>
      <c r="K30" s="11"/>
      <c r="L30" s="57"/>
    </row>
    <row r="31" spans="1:12" ht="23.4" x14ac:dyDescent="0.45">
      <c r="A31" s="2"/>
      <c r="B31" s="31" t="s">
        <v>26</v>
      </c>
      <c r="C31" s="7"/>
      <c r="D31" s="7"/>
      <c r="E31" s="7"/>
      <c r="F31" s="15"/>
      <c r="G31" s="7"/>
      <c r="H31" s="12" t="s">
        <v>12</v>
      </c>
      <c r="I31" s="22">
        <v>1</v>
      </c>
      <c r="J31" s="23">
        <f>C52</f>
        <v>0.53119090909090905</v>
      </c>
      <c r="K31" s="30">
        <v>0.46527770022560488</v>
      </c>
    </row>
    <row r="32" spans="1:12" ht="23.4" x14ac:dyDescent="0.45">
      <c r="A32" s="2"/>
      <c r="B32" s="32" t="s">
        <v>14</v>
      </c>
      <c r="C32" s="35">
        <f>C20</f>
        <v>151.38</v>
      </c>
      <c r="D32" s="35">
        <f>D20</f>
        <v>284.98</v>
      </c>
      <c r="E32" s="35">
        <f>E20</f>
        <v>302.76</v>
      </c>
      <c r="F32" s="36">
        <f>F20</f>
        <v>325.36</v>
      </c>
      <c r="G32" s="7"/>
      <c r="H32" s="12"/>
      <c r="I32" s="28">
        <v>2080</v>
      </c>
      <c r="J32" s="28">
        <f>I32*J31</f>
        <v>1104.8770909090908</v>
      </c>
      <c r="K32" s="15">
        <f>I32*K31</f>
        <v>967.77761646925819</v>
      </c>
    </row>
    <row r="33" spans="1:11" ht="23.4" x14ac:dyDescent="0.45">
      <c r="A33" s="2"/>
      <c r="B33" s="12" t="s">
        <v>27</v>
      </c>
      <c r="C33" s="41">
        <f>ROUND((C32/3),2)</f>
        <v>50.46</v>
      </c>
      <c r="D33" s="41">
        <f>ROUND((D32/3),2)</f>
        <v>94.99</v>
      </c>
      <c r="E33" s="41">
        <f>ROUND((E32/3),2)</f>
        <v>100.92</v>
      </c>
      <c r="F33" s="42">
        <f>ROUND((F32/3),2)</f>
        <v>108.45</v>
      </c>
      <c r="G33" s="7"/>
      <c r="H33" s="32" t="s">
        <v>14</v>
      </c>
      <c r="I33" s="33">
        <f>C32</f>
        <v>151.38</v>
      </c>
      <c r="J33" s="34">
        <f>D32</f>
        <v>284.98</v>
      </c>
      <c r="K33" s="34">
        <f>F32</f>
        <v>325.36</v>
      </c>
    </row>
    <row r="34" spans="1:11" ht="23.4" x14ac:dyDescent="0.45">
      <c r="A34" s="2"/>
      <c r="B34" s="12"/>
      <c r="C34" s="37"/>
      <c r="D34" s="37"/>
      <c r="E34" s="7"/>
      <c r="F34" s="15"/>
      <c r="G34" s="7"/>
      <c r="H34" s="38" t="s">
        <v>27</v>
      </c>
      <c r="I34" s="39">
        <f>C33</f>
        <v>50.46</v>
      </c>
      <c r="J34" s="40">
        <f>D33</f>
        <v>94.99</v>
      </c>
      <c r="K34" s="40">
        <f>F36</f>
        <v>110.69</v>
      </c>
    </row>
    <row r="35" spans="1:11" ht="23.4" x14ac:dyDescent="0.45">
      <c r="A35" s="2"/>
      <c r="B35" s="12" t="s">
        <v>18</v>
      </c>
      <c r="C35" s="45">
        <v>2.07E-2</v>
      </c>
      <c r="D35" s="45">
        <v>2.07E-2</v>
      </c>
      <c r="E35" s="45">
        <v>2.07E-2</v>
      </c>
      <c r="F35" s="46">
        <v>2.07E-2</v>
      </c>
      <c r="G35" s="7"/>
      <c r="H35" s="12" t="s">
        <v>16</v>
      </c>
      <c r="I35" s="43">
        <f>I33*0.9</f>
        <v>136.24199999999999</v>
      </c>
      <c r="J35" s="44">
        <f>J33*0.9</f>
        <v>256.48200000000003</v>
      </c>
      <c r="K35" s="44">
        <f>K33*0.9</f>
        <v>292.82400000000001</v>
      </c>
    </row>
    <row r="36" spans="1:11" ht="23.4" x14ac:dyDescent="0.45">
      <c r="A36" s="2"/>
      <c r="B36" s="12" t="s">
        <v>28</v>
      </c>
      <c r="C36" s="47">
        <f>ROUND((C33*(1+C35)),2)</f>
        <v>51.5</v>
      </c>
      <c r="D36" s="47">
        <f>ROUND((D33*(1+D35)),2)</f>
        <v>96.96</v>
      </c>
      <c r="E36" s="47">
        <f>ROUND((E33*(1+E35)),2)</f>
        <v>103.01</v>
      </c>
      <c r="F36" s="48">
        <f>ROUND((F33*(1+F35)),2)</f>
        <v>110.69</v>
      </c>
      <c r="G36" s="7"/>
      <c r="H36" s="12" t="s">
        <v>29</v>
      </c>
      <c r="I36" s="43">
        <f>I35/3</f>
        <v>45.413999999999994</v>
      </c>
      <c r="J36" s="44">
        <f>J35/3</f>
        <v>85.494000000000014</v>
      </c>
      <c r="K36" s="44">
        <f>K35/3</f>
        <v>97.608000000000004</v>
      </c>
    </row>
    <row r="37" spans="1:11" ht="23.4" x14ac:dyDescent="0.45">
      <c r="A37" s="2"/>
      <c r="B37" s="12"/>
      <c r="C37" s="37"/>
      <c r="D37" s="37"/>
      <c r="E37" s="7"/>
      <c r="F37" s="15"/>
      <c r="G37" s="7"/>
      <c r="H37" s="12"/>
      <c r="I37" s="7"/>
      <c r="J37" s="15"/>
      <c r="K37" s="15"/>
    </row>
    <row r="38" spans="1:11" s="60" customFormat="1" ht="24" thickBot="1" x14ac:dyDescent="0.5">
      <c r="A38" s="58"/>
      <c r="B38" s="52" t="s">
        <v>30</v>
      </c>
      <c r="C38" s="53">
        <f>C27*4/3</f>
        <v>77.36</v>
      </c>
      <c r="D38" s="53"/>
      <c r="E38" s="59"/>
      <c r="F38" s="54"/>
      <c r="G38" s="7"/>
      <c r="H38" s="12" t="s">
        <v>18</v>
      </c>
      <c r="I38" s="49">
        <v>2.07E-2</v>
      </c>
      <c r="J38" s="50">
        <v>2.07E-2</v>
      </c>
      <c r="K38" s="46">
        <v>2.07E-2</v>
      </c>
    </row>
    <row r="39" spans="1:11" ht="24" thickBot="1" x14ac:dyDescent="0.5">
      <c r="A39" s="2"/>
      <c r="B39" s="2"/>
      <c r="C39" s="61"/>
      <c r="D39" s="61"/>
      <c r="E39" s="2"/>
      <c r="F39" s="2"/>
      <c r="G39" s="7"/>
      <c r="H39" s="12" t="s">
        <v>31</v>
      </c>
      <c r="I39" s="47">
        <f>ROUND((I36*(1+I38)),2)</f>
        <v>46.35</v>
      </c>
      <c r="J39" s="48">
        <f>ROUND((J36*(1+J38)),2)</f>
        <v>87.26</v>
      </c>
      <c r="K39" s="48">
        <f>ROUND((K36*(1+K38)),2)</f>
        <v>99.63</v>
      </c>
    </row>
    <row r="40" spans="1:11" ht="24" thickBot="1" x14ac:dyDescent="0.5">
      <c r="A40" s="2"/>
      <c r="B40" s="930" t="s">
        <v>32</v>
      </c>
      <c r="C40" s="931"/>
      <c r="D40" s="62"/>
      <c r="E40" s="2"/>
      <c r="F40" s="2"/>
      <c r="G40" s="26"/>
      <c r="H40" s="51" t="s">
        <v>33</v>
      </c>
      <c r="I40" s="47">
        <v>68.31</v>
      </c>
      <c r="J40" s="48"/>
      <c r="K40" s="48"/>
    </row>
    <row r="41" spans="1:11" ht="24" thickBot="1" x14ac:dyDescent="0.5">
      <c r="A41" s="2"/>
      <c r="B41" s="63" t="s">
        <v>34</v>
      </c>
      <c r="C41" s="64">
        <v>113.47</v>
      </c>
      <c r="D41" s="43"/>
      <c r="E41" s="2"/>
      <c r="F41" s="2"/>
      <c r="G41" s="7"/>
      <c r="H41" s="55" t="s">
        <v>35</v>
      </c>
      <c r="I41" s="53">
        <v>69.67</v>
      </c>
      <c r="J41" s="54"/>
      <c r="K41" s="54"/>
    </row>
    <row r="42" spans="1:11" ht="24" thickBot="1" x14ac:dyDescent="0.5">
      <c r="A42" s="2"/>
      <c r="B42" s="2"/>
      <c r="C42" s="61"/>
      <c r="D42" s="61"/>
      <c r="E42" s="2"/>
      <c r="F42" s="2"/>
      <c r="G42" s="7"/>
    </row>
    <row r="43" spans="1:11" ht="23.4" x14ac:dyDescent="0.45">
      <c r="A43" s="2"/>
      <c r="B43" s="8" t="s">
        <v>36</v>
      </c>
      <c r="C43" s="11"/>
      <c r="D43" s="2"/>
      <c r="E43" s="2"/>
      <c r="F43" s="2"/>
      <c r="G43" s="7"/>
      <c r="H43" s="8" t="s">
        <v>37</v>
      </c>
      <c r="I43" s="65" t="s">
        <v>38</v>
      </c>
    </row>
    <row r="44" spans="1:11" ht="23.4" x14ac:dyDescent="0.45">
      <c r="A44" s="2"/>
      <c r="B44" s="12" t="s">
        <v>39</v>
      </c>
      <c r="C44" s="24">
        <v>0.55000000000000004</v>
      </c>
      <c r="D44" s="2"/>
      <c r="E44" s="2"/>
      <c r="F44" s="2"/>
      <c r="G44" s="37"/>
      <c r="H44" s="12" t="s">
        <v>39</v>
      </c>
      <c r="I44" s="66">
        <v>20</v>
      </c>
    </row>
    <row r="45" spans="1:11" ht="23.4" x14ac:dyDescent="0.45">
      <c r="A45" s="2"/>
      <c r="B45" s="67" t="s">
        <v>40</v>
      </c>
      <c r="C45" s="24">
        <v>0.55000000000000004</v>
      </c>
      <c r="D45" s="2"/>
      <c r="E45" s="2"/>
      <c r="F45" s="2"/>
      <c r="G45" s="41"/>
      <c r="H45" s="67" t="s">
        <v>40</v>
      </c>
      <c r="I45" s="68">
        <v>20</v>
      </c>
    </row>
    <row r="46" spans="1:11" ht="23.4" x14ac:dyDescent="0.45">
      <c r="A46" s="2"/>
      <c r="B46" s="12" t="s">
        <v>41</v>
      </c>
      <c r="C46" s="24">
        <v>0.45</v>
      </c>
      <c r="D46" s="2"/>
      <c r="E46" s="2"/>
      <c r="F46" s="2"/>
      <c r="G46" s="7"/>
      <c r="H46" s="12" t="s">
        <v>41</v>
      </c>
      <c r="I46" s="68">
        <v>30</v>
      </c>
    </row>
    <row r="47" spans="1:11" ht="23.4" x14ac:dyDescent="0.45">
      <c r="A47" s="2"/>
      <c r="B47" s="12" t="s">
        <v>42</v>
      </c>
      <c r="C47" s="24">
        <f>806/1705</f>
        <v>0.47272727272727272</v>
      </c>
      <c r="D47" s="2"/>
      <c r="E47" s="2"/>
      <c r="F47" s="2"/>
      <c r="G47" s="45"/>
      <c r="H47" s="12" t="s">
        <v>43</v>
      </c>
      <c r="I47" s="68">
        <v>15</v>
      </c>
    </row>
    <row r="48" spans="1:11" ht="23.4" x14ac:dyDescent="0.45">
      <c r="A48" s="2"/>
      <c r="B48" s="12" t="s">
        <v>44</v>
      </c>
      <c r="C48" s="24">
        <v>0.44</v>
      </c>
      <c r="D48" s="2"/>
      <c r="E48" s="2"/>
      <c r="F48" s="2"/>
      <c r="G48" s="47"/>
      <c r="H48" s="12" t="s">
        <v>42</v>
      </c>
      <c r="I48" s="66">
        <v>30</v>
      </c>
    </row>
    <row r="49" spans="1:9" ht="23.4" x14ac:dyDescent="0.45">
      <c r="A49" s="2"/>
      <c r="B49" s="12" t="s">
        <v>45</v>
      </c>
      <c r="C49" s="24">
        <v>0.69</v>
      </c>
      <c r="D49" s="2"/>
      <c r="E49" s="2"/>
      <c r="F49" s="2"/>
      <c r="G49" s="7"/>
      <c r="H49" s="12" t="s">
        <v>44</v>
      </c>
      <c r="I49" s="66">
        <v>15</v>
      </c>
    </row>
    <row r="50" spans="1:9" ht="23.4" x14ac:dyDescent="0.45">
      <c r="A50" s="2"/>
      <c r="B50" s="12" t="s">
        <v>46</v>
      </c>
      <c r="C50" s="24">
        <v>0.56999999999999995</v>
      </c>
      <c r="D50" s="2"/>
      <c r="E50" s="2"/>
      <c r="F50" s="2"/>
      <c r="G50" s="7"/>
      <c r="H50" s="12" t="s">
        <v>45</v>
      </c>
      <c r="I50" s="66">
        <v>30</v>
      </c>
    </row>
    <row r="51" spans="1:9" ht="24" thickBot="1" x14ac:dyDescent="0.5">
      <c r="A51" s="2"/>
      <c r="B51" s="69" t="s">
        <v>47</v>
      </c>
      <c r="C51" s="70">
        <v>0.52680000000000005</v>
      </c>
      <c r="D51" s="2"/>
      <c r="E51" s="2"/>
      <c r="F51" s="2"/>
      <c r="G51" s="2"/>
      <c r="H51" s="12" t="s">
        <v>46</v>
      </c>
      <c r="I51" s="66">
        <v>15</v>
      </c>
    </row>
    <row r="52" spans="1:9" ht="24.6" thickTop="1" thickBot="1" x14ac:dyDescent="0.5">
      <c r="A52" s="2"/>
      <c r="B52" s="52" t="s">
        <v>48</v>
      </c>
      <c r="C52" s="71">
        <f>AVERAGE(C44:C51)</f>
        <v>0.53119090909090905</v>
      </c>
      <c r="D52" s="2"/>
      <c r="E52" s="2"/>
      <c r="F52" s="2"/>
      <c r="G52" s="2"/>
      <c r="H52" s="69" t="s">
        <v>47</v>
      </c>
      <c r="I52" s="72">
        <v>20</v>
      </c>
    </row>
    <row r="53" spans="1:9" ht="24" thickBot="1" x14ac:dyDescent="0.5">
      <c r="A53" s="2"/>
      <c r="B53" s="2"/>
      <c r="C53" s="2"/>
      <c r="D53" s="73"/>
      <c r="E53" s="2"/>
      <c r="F53" s="2"/>
      <c r="G53" s="2"/>
      <c r="H53" s="52" t="s">
        <v>48</v>
      </c>
      <c r="I53" s="74">
        <f>AVERAGE(I44:I52)</f>
        <v>21.666666666666668</v>
      </c>
    </row>
    <row r="54" spans="1:9" ht="23.4" x14ac:dyDescent="0.45">
      <c r="A54" s="2"/>
      <c r="B54" s="2"/>
      <c r="C54" s="2"/>
      <c r="D54" s="2"/>
      <c r="E54" s="2"/>
      <c r="F54" s="2"/>
      <c r="G54" s="2"/>
    </row>
    <row r="55" spans="1:9" ht="23.4" x14ac:dyDescent="0.45">
      <c r="A55" s="2"/>
      <c r="D55" s="2"/>
      <c r="E55" s="2"/>
      <c r="F55" s="2"/>
      <c r="G55" s="2"/>
    </row>
  </sheetData>
  <mergeCells count="1">
    <mergeCell ref="B40:C40"/>
  </mergeCells>
  <printOptions headings="1" gridLines="1"/>
  <pageMargins left="0.25" right="0.25" top="0.75" bottom="0.75" header="0.3" footer="0.3"/>
  <pageSetup scale="37" orientation="landscape" r:id="rId1"/>
  <headerFooter>
    <oddFooter>&amp;L&amp;Z&amp;F&amp;C
&amp;P of &amp;N
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B9B7-78F4-457E-B0AF-B960C6838E46}">
  <dimension ref="A1:P57"/>
  <sheetViews>
    <sheetView view="pageBreakPreview" topLeftCell="A22" zoomScale="60" zoomScaleNormal="100" workbookViewId="0">
      <selection activeCell="H11" sqref="H11"/>
    </sheetView>
  </sheetViews>
  <sheetFormatPr defaultRowHeight="14.4" x14ac:dyDescent="0.3"/>
  <cols>
    <col min="1" max="1" width="20.6640625" bestFit="1" customWidth="1"/>
    <col min="2" max="2" width="36.88671875" bestFit="1" customWidth="1"/>
    <col min="3" max="3" width="23.44140625" bestFit="1" customWidth="1"/>
    <col min="4" max="4" width="23.44140625" customWidth="1"/>
    <col min="5" max="5" width="38.44140625" hidden="1" customWidth="1"/>
    <col min="6" max="6" width="27.6640625" hidden="1" customWidth="1"/>
    <col min="7" max="7" width="3.88671875" customWidth="1"/>
    <col min="8" max="8" width="33.5546875" customWidth="1"/>
    <col min="9" max="9" width="30.88671875" customWidth="1"/>
    <col min="10" max="10" width="28.6640625" customWidth="1"/>
    <col min="11" max="11" width="2.5546875" customWidth="1"/>
    <col min="12" max="12" width="20.6640625" bestFit="1" customWidth="1"/>
    <col min="13" max="13" width="13.33203125" bestFit="1" customWidth="1"/>
    <col min="14" max="14" width="36.44140625" customWidth="1"/>
    <col min="15" max="15" width="14.33203125" bestFit="1" customWidth="1"/>
    <col min="16" max="16" width="6.109375" bestFit="1" customWidth="1"/>
    <col min="17" max="19" width="12.5546875" bestFit="1" customWidth="1"/>
    <col min="20" max="20" width="11.5546875" bestFit="1" customWidth="1"/>
    <col min="21" max="21" width="14.33203125" bestFit="1" customWidth="1"/>
  </cols>
  <sheetData>
    <row r="1" spans="1:15" ht="23.4" x14ac:dyDescent="0.45">
      <c r="A1" s="2"/>
      <c r="B1" s="2" t="s">
        <v>90</v>
      </c>
      <c r="C1" s="2"/>
      <c r="D1" s="2"/>
      <c r="E1" s="2"/>
      <c r="F1" s="2"/>
      <c r="G1" s="2"/>
      <c r="H1" s="2"/>
      <c r="I1" s="2"/>
      <c r="J1" s="2"/>
      <c r="K1" s="2"/>
    </row>
    <row r="2" spans="1:15" ht="23.4" x14ac:dyDescent="0.45">
      <c r="A2" s="2"/>
      <c r="B2" s="2" t="s">
        <v>265</v>
      </c>
      <c r="C2" s="2"/>
      <c r="D2" s="2"/>
      <c r="E2" s="2"/>
      <c r="F2" s="2"/>
      <c r="G2" s="2"/>
      <c r="H2" s="2"/>
      <c r="I2" s="2"/>
      <c r="J2" s="2"/>
      <c r="K2" s="2"/>
    </row>
    <row r="3" spans="1:15" ht="23.4" x14ac:dyDescent="0.45">
      <c r="A3" s="2"/>
      <c r="B3" s="2" t="s">
        <v>92</v>
      </c>
      <c r="C3" s="2"/>
      <c r="D3" s="2"/>
      <c r="E3" s="2"/>
      <c r="F3" s="2"/>
      <c r="G3" s="2"/>
      <c r="H3" s="2"/>
      <c r="I3" s="2"/>
      <c r="J3" s="2"/>
      <c r="K3" s="2"/>
    </row>
    <row r="4" spans="1:15" ht="23.4" x14ac:dyDescent="0.45">
      <c r="A4" s="2"/>
      <c r="B4" s="2"/>
      <c r="C4" s="2"/>
      <c r="D4" s="2"/>
      <c r="E4" s="2"/>
      <c r="F4" s="2"/>
      <c r="G4" s="2"/>
      <c r="H4" s="943" t="s">
        <v>266</v>
      </c>
      <c r="I4" s="943"/>
      <c r="J4" s="2"/>
      <c r="K4" s="2"/>
    </row>
    <row r="5" spans="1:15" ht="23.25" customHeight="1" thickBot="1" x14ac:dyDescent="0.5">
      <c r="A5" s="2"/>
      <c r="B5" s="2" t="s">
        <v>267</v>
      </c>
      <c r="C5" s="2"/>
      <c r="D5" s="2"/>
      <c r="E5" s="2"/>
      <c r="F5" s="2"/>
      <c r="G5" s="2"/>
      <c r="H5" s="944"/>
      <c r="I5" s="944"/>
      <c r="J5" s="2"/>
      <c r="K5" s="2"/>
    </row>
    <row r="6" spans="1:15" ht="23.25" customHeight="1" x14ac:dyDescent="0.45">
      <c r="A6" s="2"/>
      <c r="B6" s="933" t="s">
        <v>268</v>
      </c>
      <c r="C6" s="277"/>
      <c r="D6" s="2"/>
      <c r="E6" s="2"/>
      <c r="F6" s="2"/>
      <c r="G6" s="2"/>
      <c r="H6" s="933" t="s">
        <v>268</v>
      </c>
      <c r="I6" s="277"/>
      <c r="J6" s="2"/>
      <c r="K6" s="2"/>
      <c r="L6" s="2"/>
      <c r="M6" s="276"/>
      <c r="N6" s="276"/>
    </row>
    <row r="7" spans="1:15" ht="24" thickBot="1" x14ac:dyDescent="0.5">
      <c r="A7" s="2"/>
      <c r="B7" s="934"/>
      <c r="C7" s="278"/>
      <c r="D7" s="2"/>
      <c r="E7" s="2"/>
      <c r="F7" s="2"/>
      <c r="G7" s="2"/>
      <c r="H7" s="934"/>
      <c r="I7" s="278"/>
      <c r="J7" s="2"/>
      <c r="K7" s="2"/>
      <c r="L7" s="2"/>
      <c r="M7" s="276"/>
      <c r="N7" s="276"/>
    </row>
    <row r="8" spans="1:15" ht="24" thickBot="1" x14ac:dyDescent="0.5">
      <c r="A8" s="2"/>
      <c r="B8" s="935"/>
      <c r="C8" s="369">
        <v>427274.25545454549</v>
      </c>
      <c r="D8" s="2"/>
      <c r="E8" s="2"/>
      <c r="F8" s="2"/>
      <c r="G8" s="2"/>
      <c r="H8" s="935"/>
      <c r="I8" s="280">
        <v>435810.93</v>
      </c>
      <c r="J8" s="2"/>
      <c r="K8" s="2"/>
      <c r="L8" s="2"/>
      <c r="M8" s="276"/>
      <c r="N8" s="276"/>
    </row>
    <row r="9" spans="1:15" ht="24" thickBot="1" x14ac:dyDescent="0.5">
      <c r="A9" s="2"/>
      <c r="B9" s="282"/>
      <c r="C9" s="283"/>
      <c r="D9" s="2"/>
      <c r="E9" s="2"/>
      <c r="F9" s="2"/>
      <c r="G9" s="2"/>
      <c r="H9" s="282"/>
      <c r="I9" s="283"/>
      <c r="J9" s="2"/>
      <c r="K9" s="2"/>
      <c r="L9" s="2"/>
      <c r="M9" s="2"/>
      <c r="N9" s="276"/>
      <c r="O9" s="276"/>
    </row>
    <row r="10" spans="1:15" ht="46.8" x14ac:dyDescent="0.45">
      <c r="A10" s="2"/>
      <c r="B10" s="284" t="s">
        <v>269</v>
      </c>
      <c r="C10" s="285">
        <f>C8</f>
        <v>427274.25545454549</v>
      </c>
      <c r="D10" s="2"/>
      <c r="E10" s="2"/>
      <c r="F10" s="2"/>
      <c r="G10" s="2"/>
      <c r="H10" s="284" t="s">
        <v>269</v>
      </c>
      <c r="I10" s="285">
        <f>I8</f>
        <v>435810.93</v>
      </c>
      <c r="J10" s="2"/>
      <c r="K10" s="2"/>
      <c r="L10" s="2"/>
      <c r="M10" s="2"/>
      <c r="N10" s="276"/>
      <c r="O10" s="276"/>
    </row>
    <row r="11" spans="1:15" ht="23.4" x14ac:dyDescent="0.45">
      <c r="A11" s="2"/>
      <c r="B11" s="286" t="s">
        <v>270</v>
      </c>
      <c r="C11" s="287">
        <v>0.14610000000000001</v>
      </c>
      <c r="D11" s="2"/>
      <c r="E11" s="2"/>
      <c r="F11" s="2"/>
      <c r="G11" s="2"/>
      <c r="H11" s="286" t="s">
        <v>271</v>
      </c>
      <c r="I11" s="289">
        <v>0.14879999999999999</v>
      </c>
      <c r="J11" s="2"/>
      <c r="K11" s="2"/>
      <c r="L11" s="2"/>
      <c r="M11" s="2"/>
      <c r="N11" s="276"/>
      <c r="O11" s="276"/>
    </row>
    <row r="12" spans="1:15" ht="47.4" thickBot="1" x14ac:dyDescent="0.5">
      <c r="A12" s="2"/>
      <c r="B12" s="291" t="s">
        <v>272</v>
      </c>
      <c r="C12" s="292">
        <f>C10*C11</f>
        <v>62424.768721909102</v>
      </c>
      <c r="D12" s="2"/>
      <c r="E12" s="2"/>
      <c r="F12" s="2"/>
      <c r="G12" s="2"/>
      <c r="H12" s="291" t="s">
        <v>272</v>
      </c>
      <c r="I12" s="292">
        <f>I10*I11</f>
        <v>64848.666383999996</v>
      </c>
      <c r="J12" s="2"/>
      <c r="K12" s="2"/>
      <c r="L12" s="2"/>
      <c r="M12" s="2"/>
      <c r="N12" s="276"/>
      <c r="O12" s="276"/>
    </row>
    <row r="13" spans="1:15" ht="24" thickBot="1" x14ac:dyDescent="0.5">
      <c r="A13" s="2"/>
      <c r="B13" s="282"/>
      <c r="C13" s="283"/>
      <c r="D13" s="2"/>
      <c r="E13" s="2"/>
      <c r="F13" s="2"/>
      <c r="G13" s="2"/>
      <c r="H13" s="282"/>
      <c r="I13" s="283"/>
      <c r="J13" s="2"/>
      <c r="K13" s="2"/>
      <c r="L13" s="2"/>
      <c r="M13" s="2"/>
      <c r="N13" s="276"/>
      <c r="O13" s="276"/>
    </row>
    <row r="14" spans="1:15" ht="70.2" x14ac:dyDescent="0.45">
      <c r="A14" s="2"/>
      <c r="B14" s="284" t="s">
        <v>273</v>
      </c>
      <c r="C14" s="293">
        <f>C10</f>
        <v>427274.25545454549</v>
      </c>
      <c r="D14" s="2"/>
      <c r="E14" s="2"/>
      <c r="F14" s="2"/>
      <c r="G14" s="2"/>
      <c r="H14" s="284" t="s">
        <v>273</v>
      </c>
      <c r="I14" s="293">
        <f>I10</f>
        <v>435810.93</v>
      </c>
      <c r="J14" s="2"/>
      <c r="K14" s="2"/>
      <c r="L14" s="2"/>
      <c r="M14" s="2"/>
      <c r="N14" s="276"/>
      <c r="O14" s="276"/>
    </row>
    <row r="15" spans="1:15" ht="46.8" x14ac:dyDescent="0.45">
      <c r="A15" s="2"/>
      <c r="B15" s="286" t="s">
        <v>274</v>
      </c>
      <c r="C15" s="294">
        <f>C12</f>
        <v>62424.768721909102</v>
      </c>
      <c r="D15" s="2"/>
      <c r="E15" s="2"/>
      <c r="F15" s="2"/>
      <c r="G15" s="2"/>
      <c r="H15" s="286" t="s">
        <v>274</v>
      </c>
      <c r="I15" s="294">
        <f>I12</f>
        <v>64848.666383999996</v>
      </c>
      <c r="J15" s="2"/>
      <c r="K15" s="2"/>
      <c r="L15" s="2"/>
      <c r="M15" s="2"/>
      <c r="N15" s="276"/>
      <c r="O15" s="276"/>
    </row>
    <row r="16" spans="1:15" ht="70.8" thickBot="1" x14ac:dyDescent="0.5">
      <c r="A16" s="2"/>
      <c r="B16" s="291" t="s">
        <v>275</v>
      </c>
      <c r="C16" s="292">
        <f>C14+C15</f>
        <v>489699.02417645458</v>
      </c>
      <c r="D16" s="2"/>
      <c r="E16" s="2"/>
      <c r="F16" s="2"/>
      <c r="G16" s="2"/>
      <c r="H16" s="291" t="s">
        <v>275</v>
      </c>
      <c r="I16" s="292">
        <f>I14+I15</f>
        <v>500659.59638399997</v>
      </c>
      <c r="J16" s="2"/>
      <c r="K16" s="2"/>
      <c r="L16" s="2"/>
      <c r="M16" s="2"/>
      <c r="N16" s="276"/>
      <c r="O16" s="276"/>
    </row>
    <row r="17" spans="1:16" ht="24" thickBot="1" x14ac:dyDescent="0.5">
      <c r="A17" s="2"/>
      <c r="B17" s="282"/>
      <c r="C17" s="283"/>
      <c r="D17" s="2"/>
      <c r="E17" s="2"/>
      <c r="F17" s="2"/>
      <c r="G17" s="2"/>
      <c r="H17" s="282"/>
      <c r="I17" s="283"/>
      <c r="J17" s="2"/>
      <c r="K17" s="2"/>
      <c r="L17" s="2"/>
      <c r="M17" s="2"/>
      <c r="N17" s="276"/>
      <c r="O17" s="276"/>
    </row>
    <row r="18" spans="1:16" ht="46.8" x14ac:dyDescent="0.45">
      <c r="A18" s="2"/>
      <c r="B18" s="284" t="s">
        <v>276</v>
      </c>
      <c r="C18" s="293">
        <f>C16</f>
        <v>489699.02417645458</v>
      </c>
      <c r="D18" s="295">
        <v>0.65869999999999995</v>
      </c>
      <c r="E18" s="2"/>
      <c r="F18" s="2"/>
      <c r="G18" s="2"/>
      <c r="H18" s="284" t="s">
        <v>276</v>
      </c>
      <c r="I18" s="293">
        <f>I16</f>
        <v>500659.59638399997</v>
      </c>
      <c r="J18" s="296">
        <v>0.6583</v>
      </c>
      <c r="K18" s="2"/>
      <c r="L18" s="2"/>
      <c r="M18" s="2"/>
      <c r="N18" s="276"/>
      <c r="O18" s="276"/>
    </row>
    <row r="19" spans="1:16" ht="23.4" x14ac:dyDescent="0.45">
      <c r="A19" s="2"/>
      <c r="B19" s="286"/>
      <c r="C19" s="2"/>
      <c r="D19" s="298"/>
      <c r="E19" s="2"/>
      <c r="F19" s="2"/>
      <c r="G19" s="2"/>
      <c r="H19" s="286"/>
      <c r="I19" s="2"/>
      <c r="J19" s="298"/>
      <c r="K19" s="2"/>
      <c r="L19" s="2"/>
      <c r="M19" s="2"/>
      <c r="N19" s="276"/>
      <c r="O19" s="276"/>
    </row>
    <row r="20" spans="1:16" ht="23.4" x14ac:dyDescent="0.45">
      <c r="A20" s="2"/>
      <c r="B20" s="301" t="s">
        <v>78</v>
      </c>
      <c r="C20" s="302">
        <f>C22*D20</f>
        <v>253733.53112406854</v>
      </c>
      <c r="D20" s="303">
        <v>0.34129999999999999</v>
      </c>
      <c r="E20" s="2"/>
      <c r="F20" s="2"/>
      <c r="G20" s="2"/>
      <c r="H20" s="301" t="s">
        <v>78</v>
      </c>
      <c r="I20" s="302">
        <f>I22*J20</f>
        <v>259874.50111562022</v>
      </c>
      <c r="J20" s="304">
        <v>0.3417</v>
      </c>
      <c r="K20" s="2"/>
      <c r="L20" s="2"/>
      <c r="M20" s="2"/>
      <c r="N20" s="276"/>
      <c r="O20" s="276"/>
    </row>
    <row r="21" spans="1:16" ht="24" thickBot="1" x14ac:dyDescent="0.5">
      <c r="A21" s="2"/>
      <c r="B21" s="301"/>
      <c r="C21" s="306"/>
      <c r="D21" s="298"/>
      <c r="E21" s="2"/>
      <c r="F21" s="2"/>
      <c r="G21" s="2"/>
      <c r="H21" s="301"/>
      <c r="I21" s="306"/>
      <c r="J21" s="298"/>
      <c r="K21" s="2"/>
      <c r="L21" s="2"/>
      <c r="M21" s="2"/>
      <c r="N21" s="276"/>
      <c r="O21" s="276"/>
    </row>
    <row r="22" spans="1:16" ht="24" thickBot="1" x14ac:dyDescent="0.5">
      <c r="A22" s="2"/>
      <c r="B22" s="291" t="s">
        <v>112</v>
      </c>
      <c r="C22" s="292">
        <f>C18/D18</f>
        <v>743432.55530052318</v>
      </c>
      <c r="D22" s="309">
        <f>SUM(D18:D20)</f>
        <v>1</v>
      </c>
      <c r="E22" s="2"/>
      <c r="F22" s="2"/>
      <c r="G22" s="2"/>
      <c r="H22" s="291" t="s">
        <v>112</v>
      </c>
      <c r="I22" s="292">
        <f>I18/J18</f>
        <v>760534.09749962017</v>
      </c>
      <c r="J22" s="309">
        <f>SUM(J18:J20)</f>
        <v>1</v>
      </c>
      <c r="K22" s="2"/>
      <c r="L22" s="2"/>
      <c r="M22" s="2"/>
      <c r="N22" s="276"/>
      <c r="O22" s="276"/>
    </row>
    <row r="23" spans="1:16" ht="24" thickBot="1" x14ac:dyDescent="0.5">
      <c r="A23" s="2"/>
      <c r="B23" s="282"/>
      <c r="C23" s="283"/>
      <c r="D23" s="2"/>
      <c r="E23" s="2"/>
      <c r="F23" s="2"/>
      <c r="G23" s="2"/>
      <c r="H23" s="282"/>
      <c r="I23" s="283"/>
      <c r="J23" s="2"/>
      <c r="K23" s="2"/>
      <c r="L23" s="2"/>
      <c r="M23" s="2"/>
      <c r="N23" s="276"/>
      <c r="O23" s="276"/>
    </row>
    <row r="24" spans="1:16" ht="70.2" x14ac:dyDescent="0.45">
      <c r="A24" s="2"/>
      <c r="B24" s="284" t="s">
        <v>277</v>
      </c>
      <c r="C24" s="293">
        <f>C22</f>
        <v>743432.55530052318</v>
      </c>
      <c r="D24" s="2"/>
      <c r="E24" s="2"/>
      <c r="F24" s="2"/>
      <c r="G24" s="2"/>
      <c r="H24" s="284" t="s">
        <v>277</v>
      </c>
      <c r="I24" s="293">
        <f>I22</f>
        <v>760534.09749962017</v>
      </c>
      <c r="J24" s="2"/>
      <c r="K24" s="2"/>
      <c r="L24" s="2"/>
      <c r="M24" s="2"/>
      <c r="N24" s="276"/>
      <c r="O24" s="276"/>
    </row>
    <row r="25" spans="1:16" ht="46.8" x14ac:dyDescent="0.45">
      <c r="A25" s="2"/>
      <c r="B25" s="286" t="s">
        <v>114</v>
      </c>
      <c r="C25" s="313">
        <v>24274</v>
      </c>
      <c r="D25" s="2"/>
      <c r="E25" s="2"/>
      <c r="F25" s="2"/>
      <c r="G25" s="2"/>
      <c r="H25" s="286" t="s">
        <v>114</v>
      </c>
      <c r="I25" s="313">
        <v>26035</v>
      </c>
      <c r="J25" s="2"/>
      <c r="K25" s="2"/>
      <c r="L25" s="2"/>
      <c r="M25" s="2"/>
      <c r="N25" s="276"/>
      <c r="O25" s="276"/>
    </row>
    <row r="26" spans="1:16" ht="47.4" thickBot="1" x14ac:dyDescent="0.5">
      <c r="A26" s="2"/>
      <c r="B26" s="291" t="s">
        <v>278</v>
      </c>
      <c r="C26" s="292">
        <f>C24/C25</f>
        <v>30.626701627277054</v>
      </c>
      <c r="D26" s="2"/>
      <c r="E26" s="2"/>
      <c r="F26" s="2"/>
      <c r="G26" s="2"/>
      <c r="H26" s="291" t="s">
        <v>278</v>
      </c>
      <c r="I26" s="292">
        <f>I24/I25</f>
        <v>29.211987612814294</v>
      </c>
      <c r="J26" s="2"/>
      <c r="K26" s="2"/>
      <c r="L26" s="2"/>
      <c r="M26" s="2"/>
      <c r="N26" s="276"/>
      <c r="O26" s="276"/>
    </row>
    <row r="27" spans="1:16" ht="24" thickBot="1" x14ac:dyDescent="0.5">
      <c r="A27" s="2"/>
      <c r="B27" s="317" t="s">
        <v>117</v>
      </c>
      <c r="C27" s="318">
        <f>C26*1.0207</f>
        <v>31.260674350961686</v>
      </c>
      <c r="D27" s="2"/>
      <c r="E27" s="2"/>
      <c r="F27" s="2"/>
      <c r="G27" s="2"/>
      <c r="H27" s="317" t="s">
        <v>117</v>
      </c>
      <c r="I27" s="318">
        <f>I26*1.0207</f>
        <v>29.816675756399547</v>
      </c>
      <c r="J27" s="2"/>
      <c r="K27" s="2"/>
      <c r="L27" s="2"/>
      <c r="M27" s="2"/>
      <c r="N27" s="276"/>
      <c r="O27" s="276"/>
    </row>
    <row r="28" spans="1:16" ht="24" thickBot="1" x14ac:dyDescent="0.5">
      <c r="A28" s="2"/>
      <c r="B28" s="319" t="s">
        <v>118</v>
      </c>
      <c r="C28" s="907">
        <v>26.2</v>
      </c>
      <c r="D28" s="2"/>
      <c r="E28" s="2"/>
      <c r="F28" s="2"/>
      <c r="G28" s="2"/>
      <c r="H28" s="319" t="s">
        <v>118</v>
      </c>
      <c r="I28" s="907">
        <v>26.2</v>
      </c>
      <c r="J28" s="2" t="s">
        <v>161</v>
      </c>
      <c r="K28" s="2"/>
      <c r="L28" s="2"/>
      <c r="M28" s="2"/>
      <c r="N28" s="276"/>
      <c r="O28" s="276"/>
    </row>
    <row r="29" spans="1:16" ht="24" thickBot="1" x14ac:dyDescent="0.5">
      <c r="A29" s="2"/>
      <c r="B29" s="319" t="s">
        <v>85</v>
      </c>
      <c r="C29" s="907">
        <v>26.72</v>
      </c>
      <c r="D29" s="2"/>
      <c r="E29" s="2"/>
      <c r="F29" s="2"/>
      <c r="G29" s="2"/>
      <c r="H29" s="319" t="s">
        <v>85</v>
      </c>
      <c r="I29" s="907">
        <v>26.72</v>
      </c>
      <c r="J29" s="2"/>
      <c r="K29" s="2"/>
      <c r="L29" s="2"/>
      <c r="M29" s="2"/>
      <c r="N29" s="276"/>
      <c r="O29" s="276"/>
    </row>
    <row r="30" spans="1:16" ht="24" thickBot="1" x14ac:dyDescent="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76"/>
      <c r="P30" s="276"/>
    </row>
    <row r="31" spans="1:16" ht="24" thickBot="1" x14ac:dyDescent="0.5">
      <c r="A31" s="2"/>
      <c r="B31" s="2"/>
      <c r="C31" s="2"/>
      <c r="D31" s="2"/>
      <c r="E31" s="319" t="s">
        <v>85</v>
      </c>
      <c r="F31" s="320">
        <v>67.59</v>
      </c>
      <c r="G31" s="2"/>
      <c r="H31" s="2"/>
      <c r="I31" s="2"/>
      <c r="J31" s="2"/>
      <c r="K31" s="2"/>
    </row>
    <row r="32" spans="1:16" ht="21" customHeight="1" x14ac:dyDescent="0.45">
      <c r="A32" s="2"/>
    </row>
    <row r="33" spans="1:1" ht="23.4" x14ac:dyDescent="0.45">
      <c r="A33" s="2"/>
    </row>
    <row r="34" spans="1:1" ht="23.4" x14ac:dyDescent="0.45">
      <c r="A34" s="2"/>
    </row>
    <row r="35" spans="1:1" ht="23.4" x14ac:dyDescent="0.45">
      <c r="A35" s="2"/>
    </row>
    <row r="36" spans="1:1" ht="23.4" x14ac:dyDescent="0.45">
      <c r="A36" s="2"/>
    </row>
    <row r="37" spans="1:1" ht="23.4" x14ac:dyDescent="0.45">
      <c r="A37" s="2"/>
    </row>
    <row r="38" spans="1:1" ht="23.4" x14ac:dyDescent="0.45">
      <c r="A38" s="2"/>
    </row>
    <row r="39" spans="1:1" ht="23.4" x14ac:dyDescent="0.45">
      <c r="A39" s="2"/>
    </row>
    <row r="40" spans="1:1" ht="23.4" x14ac:dyDescent="0.45">
      <c r="A40" s="2"/>
    </row>
    <row r="41" spans="1:1" ht="23.4" x14ac:dyDescent="0.45">
      <c r="A41" s="2"/>
    </row>
    <row r="42" spans="1:1" ht="23.4" x14ac:dyDescent="0.45">
      <c r="A42" s="2"/>
    </row>
    <row r="43" spans="1:1" ht="23.4" x14ac:dyDescent="0.45">
      <c r="A43" s="2"/>
    </row>
    <row r="44" spans="1:1" ht="23.4" x14ac:dyDescent="0.45">
      <c r="A44" s="2"/>
    </row>
    <row r="45" spans="1:1" ht="23.4" x14ac:dyDescent="0.45">
      <c r="A45" s="2"/>
    </row>
    <row r="46" spans="1:1" ht="23.4" x14ac:dyDescent="0.45">
      <c r="A46" s="2"/>
    </row>
    <row r="47" spans="1:1" ht="23.4" x14ac:dyDescent="0.45">
      <c r="A47" s="2"/>
    </row>
    <row r="48" spans="1:1" ht="23.4" x14ac:dyDescent="0.45">
      <c r="A48" s="61"/>
    </row>
    <row r="49" spans="1:1" ht="23.4" x14ac:dyDescent="0.45">
      <c r="A49" s="2"/>
    </row>
    <row r="50" spans="1:1" ht="23.4" x14ac:dyDescent="0.45">
      <c r="A50" s="2"/>
    </row>
    <row r="51" spans="1:1" ht="23.4" x14ac:dyDescent="0.45">
      <c r="A51" s="2"/>
    </row>
    <row r="52" spans="1:1" ht="51" customHeight="1" x14ac:dyDescent="0.45">
      <c r="A52" s="2"/>
    </row>
    <row r="53" spans="1:1" ht="23.4" x14ac:dyDescent="0.45">
      <c r="A53" s="2"/>
    </row>
    <row r="54" spans="1:1" ht="23.4" x14ac:dyDescent="0.45">
      <c r="A54" s="2"/>
    </row>
    <row r="55" spans="1:1" ht="23.4" x14ac:dyDescent="0.45">
      <c r="A55" s="2"/>
    </row>
    <row r="56" spans="1:1" ht="23.4" x14ac:dyDescent="0.45">
      <c r="A56" s="2"/>
    </row>
    <row r="57" spans="1:1" ht="23.4" x14ac:dyDescent="0.45">
      <c r="A57" s="2"/>
    </row>
  </sheetData>
  <mergeCells count="3">
    <mergeCell ref="H4:I5"/>
    <mergeCell ref="B6:B8"/>
    <mergeCell ref="H6:H8"/>
  </mergeCells>
  <printOptions headings="1" gridLines="1"/>
  <pageMargins left="0.25" right="0.25" top="0.75" bottom="0.75" header="0.3" footer="0.3"/>
  <pageSetup scale="52" orientation="landscape" r:id="rId1"/>
  <headerFooter>
    <oddFooter>&amp;L&amp;Z&amp;F&amp;C
&amp;P of &amp;N
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E59C-7EF4-4568-A2B6-CCCC2ECECF5D}">
  <dimension ref="A1:W74"/>
  <sheetViews>
    <sheetView view="pageBreakPreview" zoomScale="55" zoomScaleNormal="50" zoomScaleSheetLayoutView="55" workbookViewId="0">
      <selection activeCell="H11" sqref="H11"/>
    </sheetView>
  </sheetViews>
  <sheetFormatPr defaultRowHeight="14.4" x14ac:dyDescent="0.3"/>
  <cols>
    <col min="1" max="1" width="9.109375" customWidth="1"/>
    <col min="2" max="2" width="65.109375" bestFit="1" customWidth="1"/>
    <col min="3" max="3" width="24.44140625" bestFit="1" customWidth="1"/>
    <col min="4" max="4" width="21.88671875" bestFit="1" customWidth="1"/>
    <col min="5" max="7" width="22" bestFit="1" customWidth="1"/>
    <col min="8" max="8" width="21.88671875" customWidth="1"/>
    <col min="9" max="9" width="24.44140625" bestFit="1" customWidth="1"/>
    <col min="10" max="10" width="21.88671875" bestFit="1" customWidth="1"/>
    <col min="11" max="11" width="24.44140625" bestFit="1" customWidth="1"/>
    <col min="12" max="13" width="21.88671875" customWidth="1"/>
    <col min="14" max="15" width="24.44140625" customWidth="1"/>
    <col min="16" max="16" width="5.88671875" customWidth="1"/>
    <col min="17" max="19" width="23.88671875" bestFit="1" customWidth="1"/>
    <col min="20" max="20" width="22.6640625" bestFit="1" customWidth="1"/>
    <col min="21" max="21" width="13.44140625" bestFit="1" customWidth="1"/>
    <col min="22" max="22" width="12.33203125" bestFit="1" customWidth="1"/>
  </cols>
  <sheetData>
    <row r="1" spans="1:23" ht="23.4" x14ac:dyDescent="0.45">
      <c r="A1" s="75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6"/>
    </row>
    <row r="2" spans="1:23" ht="24" thickBot="1" x14ac:dyDescent="0.5">
      <c r="A2" s="75" t="s">
        <v>280</v>
      </c>
      <c r="B2" s="2"/>
      <c r="C2" s="2"/>
      <c r="D2" s="2"/>
      <c r="E2" s="2"/>
      <c r="F2" s="2" t="s">
        <v>281</v>
      </c>
      <c r="G2" s="2"/>
      <c r="H2" s="2"/>
      <c r="I2" s="2"/>
      <c r="J2" s="2"/>
      <c r="K2" s="2"/>
      <c r="L2" s="2"/>
      <c r="M2" s="2"/>
      <c r="N2" s="2"/>
      <c r="O2" s="2"/>
      <c r="P2" s="78"/>
    </row>
    <row r="3" spans="1:23" ht="24" thickBot="1" x14ac:dyDescent="0.5">
      <c r="A3" s="76"/>
      <c r="B3" s="338" t="s">
        <v>52</v>
      </c>
      <c r="C3" s="343" t="s">
        <v>47</v>
      </c>
      <c r="D3" s="339" t="s">
        <v>53</v>
      </c>
      <c r="E3" s="339" t="s">
        <v>54</v>
      </c>
      <c r="F3" s="339" t="s">
        <v>39</v>
      </c>
      <c r="G3" s="339" t="s">
        <v>43</v>
      </c>
      <c r="H3" s="340" t="s">
        <v>40</v>
      </c>
      <c r="I3" s="339" t="s">
        <v>42</v>
      </c>
      <c r="J3" s="339" t="s">
        <v>44</v>
      </c>
      <c r="K3" s="340" t="s">
        <v>45</v>
      </c>
      <c r="L3" s="339" t="s">
        <v>41</v>
      </c>
      <c r="M3" s="339" t="s">
        <v>46</v>
      </c>
      <c r="N3" s="341" t="s">
        <v>131</v>
      </c>
      <c r="O3" s="342" t="s">
        <v>48</v>
      </c>
      <c r="P3" s="86"/>
      <c r="W3" s="87" t="s">
        <v>56</v>
      </c>
    </row>
    <row r="4" spans="1:23" ht="23.4" x14ac:dyDescent="0.45">
      <c r="A4" s="76"/>
      <c r="B4" s="349" t="s">
        <v>282</v>
      </c>
      <c r="C4" s="354"/>
      <c r="D4" s="350"/>
      <c r="E4" s="350"/>
      <c r="F4" s="350"/>
      <c r="G4" s="350"/>
      <c r="H4" s="351"/>
      <c r="I4" s="350"/>
      <c r="J4" s="350"/>
      <c r="K4" s="351"/>
      <c r="L4" s="350"/>
      <c r="M4" s="350"/>
      <c r="N4" s="352"/>
      <c r="O4" s="353"/>
      <c r="P4" s="93"/>
    </row>
    <row r="5" spans="1:23" ht="24" thickBot="1" x14ac:dyDescent="0.5">
      <c r="A5" s="76"/>
      <c r="B5" s="359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59"/>
      <c r="O5" s="361"/>
      <c r="P5" s="93"/>
    </row>
    <row r="6" spans="1:23" ht="70.2" x14ac:dyDescent="0.45">
      <c r="A6" s="76" t="s">
        <v>58</v>
      </c>
      <c r="B6" s="365" t="s">
        <v>283</v>
      </c>
      <c r="C6" s="370">
        <v>928421</v>
      </c>
      <c r="D6" s="366">
        <v>466334.88</v>
      </c>
      <c r="E6" s="366">
        <v>341907.5</v>
      </c>
      <c r="F6" s="366">
        <v>187135</v>
      </c>
      <c r="G6" s="366">
        <v>63421.18</v>
      </c>
      <c r="H6" s="367">
        <v>131140.43</v>
      </c>
      <c r="I6" s="366">
        <v>711900</v>
      </c>
      <c r="J6" s="366">
        <v>339512.51</v>
      </c>
      <c r="K6" s="367">
        <v>882245.31</v>
      </c>
      <c r="L6" s="366">
        <v>509501</v>
      </c>
      <c r="M6" s="366">
        <v>138498</v>
      </c>
      <c r="N6" s="908">
        <f>SUM(C6:M6)</f>
        <v>4700016.8100000005</v>
      </c>
      <c r="O6" s="369">
        <f>AVERAGE(C6:M6)</f>
        <v>427274.25545454549</v>
      </c>
      <c r="P6" s="93"/>
      <c r="Q6" s="375"/>
      <c r="R6" s="375"/>
      <c r="S6" s="376"/>
      <c r="T6" s="376"/>
    </row>
    <row r="7" spans="1:23" ht="46.8" x14ac:dyDescent="0.45">
      <c r="A7" s="76" t="s">
        <v>60</v>
      </c>
      <c r="B7" s="365" t="s">
        <v>284</v>
      </c>
      <c r="C7" s="380">
        <v>1038781</v>
      </c>
      <c r="D7" s="377">
        <v>473821.2</v>
      </c>
      <c r="E7" s="377">
        <v>341907.5</v>
      </c>
      <c r="F7" s="377">
        <v>213540</v>
      </c>
      <c r="G7" s="377">
        <v>75686.23</v>
      </c>
      <c r="H7" s="378">
        <v>160129.06</v>
      </c>
      <c r="I7" s="377">
        <v>820410.35</v>
      </c>
      <c r="J7" s="377">
        <v>400494.51</v>
      </c>
      <c r="K7" s="378">
        <v>882245.31</v>
      </c>
      <c r="L7" s="377">
        <v>509501</v>
      </c>
      <c r="M7" s="377">
        <v>156290</v>
      </c>
      <c r="N7" s="908">
        <f>SUM(C7:M7)</f>
        <v>5072806.16</v>
      </c>
      <c r="O7" s="379">
        <f>AVERAGE(C7:M7)</f>
        <v>461164.19636363635</v>
      </c>
      <c r="P7" s="93"/>
      <c r="Q7" s="375"/>
      <c r="R7" s="375"/>
      <c r="S7" s="376"/>
      <c r="T7" s="376"/>
    </row>
    <row r="8" spans="1:23" ht="23.4" x14ac:dyDescent="0.45">
      <c r="A8" s="76"/>
      <c r="B8" s="385" t="s">
        <v>62</v>
      </c>
      <c r="C8" s="390">
        <f>C6/C7</f>
        <v>0.89376008995158751</v>
      </c>
      <c r="D8" s="386">
        <f>D6/D7</f>
        <v>0.9842001159931214</v>
      </c>
      <c r="E8" s="386">
        <f t="shared" ref="E8:K8" si="0">E6/E7</f>
        <v>1</v>
      </c>
      <c r="F8" s="386">
        <f t="shared" si="0"/>
        <v>0.87634635197152755</v>
      </c>
      <c r="G8" s="386">
        <f t="shared" si="0"/>
        <v>0.83794872594393988</v>
      </c>
      <c r="H8" s="387">
        <f>H6/H7</f>
        <v>0.81896708817250286</v>
      </c>
      <c r="I8" s="386">
        <f t="shared" si="0"/>
        <v>0.86773649308544198</v>
      </c>
      <c r="J8" s="386">
        <f t="shared" si="0"/>
        <v>0.84773324358428781</v>
      </c>
      <c r="K8" s="387">
        <f t="shared" si="0"/>
        <v>1</v>
      </c>
      <c r="L8" s="386">
        <f>L6/L7</f>
        <v>1</v>
      </c>
      <c r="M8" s="386">
        <f>M6/M7</f>
        <v>0.88616034295220425</v>
      </c>
      <c r="N8" s="908"/>
      <c r="O8" s="389"/>
      <c r="P8" s="93"/>
    </row>
    <row r="9" spans="1:23" ht="23.4" x14ac:dyDescent="0.45">
      <c r="A9" s="76" t="s">
        <v>63</v>
      </c>
      <c r="B9" s="394" t="s">
        <v>285</v>
      </c>
      <c r="C9" s="398">
        <v>190400</v>
      </c>
      <c r="D9" s="395">
        <v>168247.57</v>
      </c>
      <c r="E9" s="395">
        <v>74438.47</v>
      </c>
      <c r="F9" s="395">
        <v>81923</v>
      </c>
      <c r="G9" s="395">
        <v>19018.419999999998</v>
      </c>
      <c r="H9" s="396">
        <v>47431.12</v>
      </c>
      <c r="I9" s="395">
        <v>272074.03999999998</v>
      </c>
      <c r="J9" s="395">
        <v>108125.87</v>
      </c>
      <c r="K9" s="396">
        <v>167596.5</v>
      </c>
      <c r="L9" s="395">
        <v>134367</v>
      </c>
      <c r="M9" s="395">
        <v>71032</v>
      </c>
      <c r="N9" s="908">
        <f>SUM(C9:M9)</f>
        <v>1334653.9900000002</v>
      </c>
      <c r="O9" s="379">
        <f>AVERAGE(C9:M9)</f>
        <v>121332.18090909092</v>
      </c>
      <c r="P9" s="93"/>
      <c r="Q9" s="375"/>
      <c r="R9" s="375"/>
      <c r="S9" s="376"/>
      <c r="T9" s="376"/>
    </row>
    <row r="10" spans="1:23" ht="23.4" x14ac:dyDescent="0.45">
      <c r="A10" s="76"/>
      <c r="B10" s="399" t="s">
        <v>65</v>
      </c>
      <c r="C10" s="403">
        <f t="shared" ref="C10:I10" si="1">C8*C9</f>
        <v>170171.92112678225</v>
      </c>
      <c r="D10" s="400">
        <f t="shared" si="1"/>
        <v>165589.27790956083</v>
      </c>
      <c r="E10" s="400">
        <f t="shared" si="1"/>
        <v>74438.47</v>
      </c>
      <c r="F10" s="400">
        <f t="shared" si="1"/>
        <v>71792.922192563448</v>
      </c>
      <c r="G10" s="400">
        <f t="shared" si="1"/>
        <v>15936.460808466743</v>
      </c>
      <c r="H10" s="401">
        <f t="shared" si="1"/>
        <v>38844.526235160563</v>
      </c>
      <c r="I10" s="400">
        <f t="shared" si="1"/>
        <v>236088.57332918825</v>
      </c>
      <c r="J10" s="400">
        <f t="shared" ref="J10:K10" si="2">J8*J9</f>
        <v>91661.894490473031</v>
      </c>
      <c r="K10" s="401">
        <f t="shared" si="2"/>
        <v>167596.5</v>
      </c>
      <c r="L10" s="400">
        <f>L8*L9</f>
        <v>134367</v>
      </c>
      <c r="M10" s="400">
        <f t="shared" ref="M10" si="3">M8*M9</f>
        <v>62945.741480580975</v>
      </c>
      <c r="N10" s="908">
        <f>SUM(C10:M10)</f>
        <v>1229433.2875727762</v>
      </c>
      <c r="O10" s="379">
        <f>AVERAGE(C10:M10)</f>
        <v>111766.66250661602</v>
      </c>
      <c r="P10" s="93"/>
    </row>
    <row r="11" spans="1:23" ht="70.2" x14ac:dyDescent="0.45">
      <c r="A11" s="76"/>
      <c r="B11" s="394" t="s">
        <v>286</v>
      </c>
      <c r="C11" s="403">
        <f>C6+C10</f>
        <v>1098592.9211267822</v>
      </c>
      <c r="D11" s="400">
        <f>D6+D10</f>
        <v>631924.15790956083</v>
      </c>
      <c r="E11" s="400">
        <f t="shared" ref="E11:K11" si="4">E6+E10</f>
        <v>416345.97</v>
      </c>
      <c r="F11" s="400">
        <f t="shared" si="4"/>
        <v>258927.92219256345</v>
      </c>
      <c r="G11" s="400">
        <f t="shared" si="4"/>
        <v>79357.640808466749</v>
      </c>
      <c r="H11" s="401">
        <f>H6+H10</f>
        <v>169984.95623516056</v>
      </c>
      <c r="I11" s="400">
        <f t="shared" si="4"/>
        <v>947988.57332918828</v>
      </c>
      <c r="J11" s="400">
        <f t="shared" si="4"/>
        <v>431174.40449047304</v>
      </c>
      <c r="K11" s="401">
        <f t="shared" si="4"/>
        <v>1049841.81</v>
      </c>
      <c r="L11" s="400">
        <f>L6+L10</f>
        <v>643868</v>
      </c>
      <c r="M11" s="400">
        <f t="shared" ref="M11" si="5">M6+M10</f>
        <v>201443.74148058097</v>
      </c>
      <c r="N11" s="908">
        <f>SUM(C11:M11)</f>
        <v>5929450.0975727756</v>
      </c>
      <c r="O11" s="379">
        <f>AVERAGE(C11:M11)</f>
        <v>539040.91796116147</v>
      </c>
      <c r="P11" s="93"/>
      <c r="Q11" s="406"/>
      <c r="R11" s="407"/>
      <c r="S11" s="407"/>
    </row>
    <row r="12" spans="1:23" ht="23.4" x14ac:dyDescent="0.45">
      <c r="A12" s="76" t="s">
        <v>68</v>
      </c>
      <c r="B12" s="394" t="s">
        <v>287</v>
      </c>
      <c r="C12" s="398">
        <v>1609754</v>
      </c>
      <c r="D12" s="395">
        <v>883128.17</v>
      </c>
      <c r="E12" s="395">
        <v>628652.92000000004</v>
      </c>
      <c r="F12" s="395">
        <v>362851.89</v>
      </c>
      <c r="G12" s="395">
        <v>175043.21</v>
      </c>
      <c r="H12" s="396">
        <v>249014.19</v>
      </c>
      <c r="I12" s="395">
        <v>1289314.8600000001</v>
      </c>
      <c r="J12" s="395">
        <v>693205.79</v>
      </c>
      <c r="K12" s="396">
        <v>1515212.12</v>
      </c>
      <c r="L12" s="395">
        <v>863086.74</v>
      </c>
      <c r="M12" s="395">
        <v>373387</v>
      </c>
      <c r="N12" s="908">
        <f>SUM(C12:M12)</f>
        <v>8642650.8900000006</v>
      </c>
      <c r="O12" s="379">
        <f>AVERAGE(C12:M12)</f>
        <v>785695.53545454552</v>
      </c>
      <c r="P12" s="93"/>
      <c r="Q12" s="375"/>
      <c r="R12" s="375"/>
      <c r="S12" s="376"/>
      <c r="T12" s="376"/>
    </row>
    <row r="13" spans="1:23" ht="23.4" x14ac:dyDescent="0.45">
      <c r="A13" s="76"/>
      <c r="B13" s="349"/>
      <c r="C13" s="412"/>
      <c r="D13" s="400"/>
      <c r="E13" s="400"/>
      <c r="F13" s="400"/>
      <c r="G13" s="400"/>
      <c r="H13" s="401"/>
      <c r="I13" s="408"/>
      <c r="J13" s="408"/>
      <c r="K13" s="409"/>
      <c r="L13" s="400"/>
      <c r="M13" s="400"/>
      <c r="N13" s="410"/>
      <c r="O13" s="411"/>
      <c r="P13" s="93"/>
    </row>
    <row r="14" spans="1:23" ht="23.4" x14ac:dyDescent="0.45">
      <c r="A14" s="115"/>
      <c r="B14" s="349"/>
      <c r="C14" s="420"/>
      <c r="D14" s="416"/>
      <c r="E14" s="416"/>
      <c r="F14" s="416"/>
      <c r="G14" s="416"/>
      <c r="H14" s="417"/>
      <c r="I14" s="416"/>
      <c r="J14" s="416"/>
      <c r="K14" s="417"/>
      <c r="L14" s="416"/>
      <c r="M14" s="416"/>
      <c r="N14" s="418"/>
      <c r="O14" s="419"/>
      <c r="P14" s="93"/>
    </row>
    <row r="15" spans="1:23" ht="46.8" x14ac:dyDescent="0.45">
      <c r="A15" s="120"/>
      <c r="B15" s="424" t="s">
        <v>288</v>
      </c>
      <c r="C15" s="429">
        <f>C11/C12</f>
        <v>0.68246012814801649</v>
      </c>
      <c r="D15" s="425">
        <f>D11/D12</f>
        <v>0.71555203352822594</v>
      </c>
      <c r="E15" s="425">
        <f t="shared" ref="E15:K15" si="6">E11/E12</f>
        <v>0.66228272669122401</v>
      </c>
      <c r="F15" s="425">
        <f t="shared" si="6"/>
        <v>0.71359121814843918</v>
      </c>
      <c r="G15" s="425">
        <f t="shared" si="6"/>
        <v>0.45336029205855372</v>
      </c>
      <c r="H15" s="426">
        <f>H11/H12</f>
        <v>0.68263160519149757</v>
      </c>
      <c r="I15" s="425">
        <f t="shared" si="6"/>
        <v>0.73526537445569207</v>
      </c>
      <c r="J15" s="425">
        <f t="shared" si="6"/>
        <v>0.62200058151630988</v>
      </c>
      <c r="K15" s="426">
        <f t="shared" si="6"/>
        <v>0.69286788043907677</v>
      </c>
      <c r="L15" s="425">
        <f>L11/L12</f>
        <v>0.74600613143471539</v>
      </c>
      <c r="M15" s="425">
        <f t="shared" ref="M15" si="7">M11/M12</f>
        <v>0.53950389670926135</v>
      </c>
      <c r="N15" s="427"/>
      <c r="O15" s="438">
        <f>AVERAGE(C15:M15)</f>
        <v>0.65868380621100109</v>
      </c>
      <c r="P15" s="93"/>
      <c r="Q15" s="253"/>
    </row>
    <row r="16" spans="1:23" ht="23.4" x14ac:dyDescent="0.45">
      <c r="A16" s="115"/>
      <c r="B16" s="434"/>
      <c r="C16" s="439"/>
      <c r="D16" s="435"/>
      <c r="E16" s="435"/>
      <c r="F16" s="435"/>
      <c r="G16" s="435"/>
      <c r="H16" s="436"/>
      <c r="I16" s="435"/>
      <c r="J16" s="435"/>
      <c r="K16" s="436"/>
      <c r="L16" s="435"/>
      <c r="M16" s="435"/>
      <c r="N16" s="437"/>
      <c r="O16" s="438"/>
      <c r="P16" s="93"/>
      <c r="Q16" s="253"/>
    </row>
    <row r="17" spans="1:20" ht="46.8" x14ac:dyDescent="0.45">
      <c r="A17" s="115"/>
      <c r="B17" s="434" t="s">
        <v>138</v>
      </c>
      <c r="C17" s="439">
        <f>C10/C12</f>
        <v>0.10571299784114981</v>
      </c>
      <c r="D17" s="435">
        <f>D10/D12</f>
        <v>0.18750310944057058</v>
      </c>
      <c r="E17" s="435">
        <f>E10/E12</f>
        <v>0.11840948738454916</v>
      </c>
      <c r="F17" s="435">
        <f t="shared" ref="F17:K17" si="8">F10/F12</f>
        <v>0.19785737423763577</v>
      </c>
      <c r="G17" s="435">
        <f t="shared" si="8"/>
        <v>9.1043010514185299E-2</v>
      </c>
      <c r="H17" s="435">
        <f>H10/H12</f>
        <v>0.15599322365990695</v>
      </c>
      <c r="I17" s="435">
        <f t="shared" si="8"/>
        <v>0.18311165150860684</v>
      </c>
      <c r="J17" s="435">
        <f t="shared" si="8"/>
        <v>0.13222897992596547</v>
      </c>
      <c r="K17" s="436">
        <f t="shared" si="8"/>
        <v>0.11060926571785869</v>
      </c>
      <c r="L17" s="435">
        <f>L10/L12</f>
        <v>0.15568191906180831</v>
      </c>
      <c r="M17" s="435">
        <f t="shared" ref="M17" si="9">M10/M12</f>
        <v>0.1685804312431364</v>
      </c>
      <c r="N17" s="437"/>
      <c r="O17" s="445">
        <f>AVERAGE(C17:M17)</f>
        <v>0.14606649550321579</v>
      </c>
      <c r="P17" s="93"/>
      <c r="Q17" s="253"/>
    </row>
    <row r="18" spans="1:20" ht="24" thickBot="1" x14ac:dyDescent="0.4">
      <c r="A18" s="115"/>
      <c r="B18" s="447"/>
      <c r="C18" s="452"/>
      <c r="D18" s="448"/>
      <c r="E18" s="448"/>
      <c r="F18" s="448"/>
      <c r="G18" s="448"/>
      <c r="H18" s="449"/>
      <c r="I18" s="448"/>
      <c r="J18" s="448"/>
      <c r="K18" s="449"/>
      <c r="L18" s="448"/>
      <c r="M18" s="448"/>
      <c r="N18" s="450"/>
      <c r="O18" s="451"/>
      <c r="P18" s="93"/>
    </row>
    <row r="19" spans="1:20" ht="22.5" customHeight="1" thickBot="1" x14ac:dyDescent="0.4">
      <c r="A19" s="134"/>
      <c r="B19" s="458" t="s">
        <v>289</v>
      </c>
      <c r="C19" s="463">
        <v>0</v>
      </c>
      <c r="D19" s="459">
        <v>0</v>
      </c>
      <c r="E19" s="459">
        <v>0</v>
      </c>
      <c r="F19" s="459"/>
      <c r="G19" s="459"/>
      <c r="H19" s="460"/>
      <c r="I19" s="459"/>
      <c r="J19" s="459"/>
      <c r="K19" s="460"/>
      <c r="L19" s="459"/>
      <c r="M19" s="459"/>
      <c r="N19" s="461"/>
      <c r="O19" s="462"/>
      <c r="P19" s="93"/>
    </row>
    <row r="20" spans="1:20" ht="15.75" customHeight="1" thickBot="1" x14ac:dyDescent="0.4">
      <c r="A20" s="134"/>
      <c r="B20" s="467"/>
      <c r="C20" s="472"/>
      <c r="D20" s="468"/>
      <c r="E20" s="468"/>
      <c r="F20" s="468"/>
      <c r="G20" s="468"/>
      <c r="H20" s="469"/>
      <c r="I20" s="468"/>
      <c r="J20" s="468"/>
      <c r="K20" s="469"/>
      <c r="L20" s="468"/>
      <c r="M20" s="468"/>
      <c r="N20" s="470"/>
      <c r="O20" s="471"/>
      <c r="P20" s="93"/>
    </row>
    <row r="21" spans="1:20" ht="23.25" customHeight="1" thickBot="1" x14ac:dyDescent="0.4">
      <c r="A21" s="134"/>
      <c r="B21" s="476" t="s">
        <v>76</v>
      </c>
      <c r="C21" s="481">
        <f t="shared" ref="C21:M21" si="10">C19+C11</f>
        <v>1098592.9211267822</v>
      </c>
      <c r="D21" s="477">
        <f t="shared" si="10"/>
        <v>631924.15790956083</v>
      </c>
      <c r="E21" s="477">
        <f t="shared" si="10"/>
        <v>416345.97</v>
      </c>
      <c r="F21" s="477">
        <f t="shared" si="10"/>
        <v>258927.92219256345</v>
      </c>
      <c r="G21" s="477">
        <f t="shared" si="10"/>
        <v>79357.640808466749</v>
      </c>
      <c r="H21" s="478">
        <f t="shared" si="10"/>
        <v>169984.95623516056</v>
      </c>
      <c r="I21" s="477">
        <f t="shared" si="10"/>
        <v>947988.57332918828</v>
      </c>
      <c r="J21" s="477">
        <f t="shared" si="10"/>
        <v>431174.40449047304</v>
      </c>
      <c r="K21" s="478">
        <f t="shared" si="10"/>
        <v>1049841.81</v>
      </c>
      <c r="L21" s="477">
        <f t="shared" si="10"/>
        <v>643868</v>
      </c>
      <c r="M21" s="477">
        <f t="shared" si="10"/>
        <v>201443.74148058097</v>
      </c>
      <c r="N21" s="477">
        <f>SUM(C21:M21)</f>
        <v>5929450.0975727756</v>
      </c>
      <c r="O21" s="477">
        <f>AVERAGE(C21:M21)</f>
        <v>539040.91796116147</v>
      </c>
      <c r="P21" s="93"/>
    </row>
    <row r="22" spans="1:20" ht="15.75" customHeight="1" thickBot="1" x14ac:dyDescent="0.4">
      <c r="A22" s="134"/>
      <c r="B22" s="467"/>
      <c r="C22" s="491"/>
      <c r="D22" s="487"/>
      <c r="E22" s="487"/>
      <c r="F22" s="487"/>
      <c r="G22" s="487"/>
      <c r="H22" s="488"/>
      <c r="I22" s="487"/>
      <c r="J22" s="487"/>
      <c r="K22" s="488"/>
      <c r="L22" s="487"/>
      <c r="M22" s="487"/>
      <c r="N22" s="489"/>
      <c r="O22" s="490"/>
      <c r="P22" s="156"/>
    </row>
    <row r="23" spans="1:20" ht="47.4" thickBot="1" x14ac:dyDescent="0.5">
      <c r="A23" s="134"/>
      <c r="B23" s="495" t="s">
        <v>77</v>
      </c>
      <c r="C23" s="500">
        <f t="shared" ref="C23:M23" si="11">C21/C12</f>
        <v>0.68246012814801649</v>
      </c>
      <c r="D23" s="496">
        <f t="shared" si="11"/>
        <v>0.71555203352822594</v>
      </c>
      <c r="E23" s="496">
        <f t="shared" si="11"/>
        <v>0.66228272669122401</v>
      </c>
      <c r="F23" s="496">
        <f t="shared" si="11"/>
        <v>0.71359121814843918</v>
      </c>
      <c r="G23" s="496">
        <f t="shared" si="11"/>
        <v>0.45336029205855372</v>
      </c>
      <c r="H23" s="497">
        <f t="shared" si="11"/>
        <v>0.68263160519149757</v>
      </c>
      <c r="I23" s="496">
        <f t="shared" si="11"/>
        <v>0.73526537445569207</v>
      </c>
      <c r="J23" s="496">
        <f t="shared" si="11"/>
        <v>0.62200058151630988</v>
      </c>
      <c r="K23" s="497">
        <f t="shared" si="11"/>
        <v>0.69286788043907677</v>
      </c>
      <c r="L23" s="496">
        <f t="shared" si="11"/>
        <v>0.74600613143471539</v>
      </c>
      <c r="M23" s="496">
        <f t="shared" si="11"/>
        <v>0.53950389670926135</v>
      </c>
      <c r="N23" s="498"/>
      <c r="O23" s="499">
        <f>AVERAGE(C23:M23)</f>
        <v>0.65868380621100109</v>
      </c>
      <c r="P23" s="156"/>
    </row>
    <row r="24" spans="1:20" ht="24" thickBot="1" x14ac:dyDescent="0.5">
      <c r="A24" s="115"/>
      <c r="B24" s="504"/>
      <c r="C24" s="508"/>
      <c r="D24" s="505"/>
      <c r="E24" s="505"/>
      <c r="F24" s="505"/>
      <c r="G24" s="505"/>
      <c r="H24" s="506"/>
      <c r="I24" s="505"/>
      <c r="J24" s="505"/>
      <c r="K24" s="506"/>
      <c r="L24" s="505"/>
      <c r="M24" s="505"/>
      <c r="N24" s="504"/>
      <c r="O24" s="507"/>
      <c r="P24" s="165"/>
    </row>
    <row r="25" spans="1:20" ht="23.25" customHeight="1" thickBot="1" x14ac:dyDescent="0.5">
      <c r="A25" s="115"/>
      <c r="B25" s="512" t="s">
        <v>78</v>
      </c>
      <c r="C25" s="517">
        <f t="shared" ref="C25:M25" si="12">C12-C21</f>
        <v>511161.0788732178</v>
      </c>
      <c r="D25" s="513">
        <f t="shared" si="12"/>
        <v>251204.01209043921</v>
      </c>
      <c r="E25" s="513">
        <f t="shared" si="12"/>
        <v>212306.95000000007</v>
      </c>
      <c r="F25" s="513">
        <f t="shared" si="12"/>
        <v>103923.96780743657</v>
      </c>
      <c r="G25" s="513">
        <f t="shared" si="12"/>
        <v>95685.569191533243</v>
      </c>
      <c r="H25" s="514">
        <f t="shared" si="12"/>
        <v>79029.233764839446</v>
      </c>
      <c r="I25" s="513">
        <f t="shared" si="12"/>
        <v>341326.28667081182</v>
      </c>
      <c r="J25" s="513">
        <f t="shared" si="12"/>
        <v>262031.385509527</v>
      </c>
      <c r="K25" s="514">
        <f t="shared" si="12"/>
        <v>465370.31000000006</v>
      </c>
      <c r="L25" s="513">
        <f t="shared" si="12"/>
        <v>219218.74</v>
      </c>
      <c r="M25" s="513">
        <f t="shared" si="12"/>
        <v>171943.25851941903</v>
      </c>
      <c r="N25" s="513">
        <f>SUM(C25:M25)</f>
        <v>2713200.7924272246</v>
      </c>
      <c r="O25" s="513">
        <f>AVERAGE(C25:M25)</f>
        <v>246654.61749338405</v>
      </c>
      <c r="P25" s="170"/>
      <c r="Q25" s="521"/>
      <c r="R25" s="521"/>
      <c r="S25" s="222"/>
      <c r="T25" s="222"/>
    </row>
    <row r="26" spans="1:20" ht="23.4" x14ac:dyDescent="0.45">
      <c r="A26" s="115"/>
      <c r="B26" s="504"/>
      <c r="C26" s="526"/>
      <c r="D26" s="522"/>
      <c r="E26" s="522"/>
      <c r="F26" s="522"/>
      <c r="G26" s="522"/>
      <c r="H26" s="523"/>
      <c r="I26" s="522"/>
      <c r="J26" s="522"/>
      <c r="K26" s="523"/>
      <c r="L26" s="522"/>
      <c r="M26" s="522"/>
      <c r="N26" s="524"/>
      <c r="O26" s="525"/>
      <c r="P26" s="170"/>
    </row>
    <row r="27" spans="1:20" ht="46.8" x14ac:dyDescent="0.45">
      <c r="A27" s="115"/>
      <c r="B27" s="531" t="s">
        <v>140</v>
      </c>
      <c r="C27" s="536">
        <f t="shared" ref="C27:M27" si="13">C25/C12</f>
        <v>0.31753987185198346</v>
      </c>
      <c r="D27" s="532">
        <f t="shared" si="13"/>
        <v>0.28444796647177406</v>
      </c>
      <c r="E27" s="532">
        <f t="shared" si="13"/>
        <v>0.33771727330877593</v>
      </c>
      <c r="F27" s="532">
        <f t="shared" si="13"/>
        <v>0.28640878185156088</v>
      </c>
      <c r="G27" s="532">
        <f t="shared" si="13"/>
        <v>0.54663970794144623</v>
      </c>
      <c r="H27" s="532">
        <f t="shared" si="13"/>
        <v>0.31736839480850249</v>
      </c>
      <c r="I27" s="532">
        <f t="shared" si="13"/>
        <v>0.26473462554430793</v>
      </c>
      <c r="J27" s="532">
        <f t="shared" si="13"/>
        <v>0.37799941848369006</v>
      </c>
      <c r="K27" s="533">
        <f t="shared" si="13"/>
        <v>0.30713211956092329</v>
      </c>
      <c r="L27" s="532">
        <f t="shared" si="13"/>
        <v>0.25399386856528461</v>
      </c>
      <c r="M27" s="532">
        <f t="shared" si="13"/>
        <v>0.46049610329073865</v>
      </c>
      <c r="N27" s="534"/>
      <c r="O27" s="535">
        <f>AVERAGE(C27:M27)</f>
        <v>0.34131619378899886</v>
      </c>
      <c r="P27" s="170"/>
    </row>
    <row r="28" spans="1:20" ht="24" thickBot="1" x14ac:dyDescent="0.5">
      <c r="A28" s="115"/>
      <c r="B28" s="504"/>
      <c r="C28" s="526"/>
      <c r="D28" s="522"/>
      <c r="E28" s="522"/>
      <c r="F28" s="522"/>
      <c r="G28" s="522"/>
      <c r="H28" s="523"/>
      <c r="I28" s="522"/>
      <c r="J28" s="522"/>
      <c r="K28" s="523"/>
      <c r="L28" s="522"/>
      <c r="M28" s="522"/>
      <c r="N28" s="524"/>
      <c r="O28" s="525"/>
      <c r="P28" s="170"/>
    </row>
    <row r="29" spans="1:20" ht="22.5" customHeight="1" thickBot="1" x14ac:dyDescent="0.5">
      <c r="A29" s="115"/>
      <c r="B29" s="538" t="s">
        <v>79</v>
      </c>
      <c r="C29" s="543">
        <f>C10</f>
        <v>170171.92112678225</v>
      </c>
      <c r="D29" s="539">
        <f>D10</f>
        <v>165589.27790956083</v>
      </c>
      <c r="E29" s="539">
        <f t="shared" ref="E29:K29" si="14">E10</f>
        <v>74438.47</v>
      </c>
      <c r="F29" s="539">
        <f t="shared" si="14"/>
        <v>71792.922192563448</v>
      </c>
      <c r="G29" s="539">
        <f t="shared" si="14"/>
        <v>15936.460808466743</v>
      </c>
      <c r="H29" s="540">
        <f>H10</f>
        <v>38844.526235160563</v>
      </c>
      <c r="I29" s="539">
        <f t="shared" si="14"/>
        <v>236088.57332918825</v>
      </c>
      <c r="J29" s="539">
        <f t="shared" si="14"/>
        <v>91661.894490473031</v>
      </c>
      <c r="K29" s="540">
        <f t="shared" si="14"/>
        <v>167596.5</v>
      </c>
      <c r="L29" s="539">
        <f>L10</f>
        <v>134367</v>
      </c>
      <c r="M29" s="539">
        <f>M10</f>
        <v>62945.741480580975</v>
      </c>
      <c r="N29" s="541"/>
      <c r="O29" s="379">
        <f>AVERAGE(C29:M29)</f>
        <v>111766.66250661602</v>
      </c>
      <c r="P29" s="170"/>
      <c r="Q29" s="547"/>
      <c r="R29" s="76"/>
      <c r="S29" s="548"/>
      <c r="T29" s="548"/>
    </row>
    <row r="30" spans="1:20" ht="24" thickBot="1" x14ac:dyDescent="0.5">
      <c r="A30" s="115"/>
      <c r="B30" s="504"/>
      <c r="C30" s="526"/>
      <c r="D30" s="522"/>
      <c r="E30" s="522"/>
      <c r="F30" s="522"/>
      <c r="G30" s="522"/>
      <c r="H30" s="523"/>
      <c r="I30" s="522"/>
      <c r="J30" s="522"/>
      <c r="K30" s="523"/>
      <c r="L30" s="522"/>
      <c r="M30" s="522"/>
      <c r="N30" s="524"/>
      <c r="O30" s="525"/>
      <c r="P30" s="170"/>
    </row>
    <row r="31" spans="1:20" ht="25.5" customHeight="1" thickBot="1" x14ac:dyDescent="0.5">
      <c r="A31" s="115"/>
      <c r="B31" s="512" t="s">
        <v>81</v>
      </c>
      <c r="C31" s="553">
        <f>C10/C11</f>
        <v>0.15489988862502757</v>
      </c>
      <c r="D31" s="549">
        <f>D10/D11</f>
        <v>0.26203979676507239</v>
      </c>
      <c r="E31" s="549">
        <f t="shared" ref="E31:K31" si="15">E10/E11</f>
        <v>0.17878993760885931</v>
      </c>
      <c r="F31" s="549">
        <f t="shared" si="15"/>
        <v>0.2772699119686729</v>
      </c>
      <c r="G31" s="549">
        <f t="shared" si="15"/>
        <v>0.20081822803843313</v>
      </c>
      <c r="H31" s="550">
        <f>H10/H11</f>
        <v>0.22851743528069787</v>
      </c>
      <c r="I31" s="549">
        <f t="shared" si="15"/>
        <v>0.24904158127147244</v>
      </c>
      <c r="J31" s="549">
        <f t="shared" si="15"/>
        <v>0.21258658569678232</v>
      </c>
      <c r="K31" s="550">
        <f t="shared" si="15"/>
        <v>0.15963976515661915</v>
      </c>
      <c r="L31" s="549">
        <f>L10/L11</f>
        <v>0.20868718432970734</v>
      </c>
      <c r="M31" s="549">
        <f>M10/M11</f>
        <v>0.3124730558414936</v>
      </c>
      <c r="N31" s="551"/>
      <c r="O31" s="909">
        <f>AVERAGE(C31:M31)</f>
        <v>0.22225121550753071</v>
      </c>
      <c r="P31" s="170"/>
    </row>
    <row r="32" spans="1:20" ht="23.4" x14ac:dyDescent="0.45">
      <c r="A32" s="115"/>
      <c r="B32" s="558"/>
      <c r="C32" s="563"/>
      <c r="D32" s="559"/>
      <c r="E32" s="559"/>
      <c r="F32" s="559"/>
      <c r="G32" s="559"/>
      <c r="H32" s="560"/>
      <c r="I32" s="559"/>
      <c r="J32" s="559"/>
      <c r="K32" s="560"/>
      <c r="L32" s="559"/>
      <c r="M32" s="559"/>
      <c r="N32" s="561"/>
      <c r="O32" s="562"/>
      <c r="P32" s="170"/>
    </row>
    <row r="33" spans="1:20" ht="23.4" x14ac:dyDescent="0.45">
      <c r="A33" s="115"/>
      <c r="B33" s="349"/>
      <c r="C33" s="573"/>
      <c r="D33" s="569"/>
      <c r="E33" s="569"/>
      <c r="F33" s="569"/>
      <c r="G33" s="569"/>
      <c r="H33" s="570"/>
      <c r="I33" s="569"/>
      <c r="J33" s="569"/>
      <c r="K33" s="570"/>
      <c r="L33" s="569"/>
      <c r="M33" s="569"/>
      <c r="N33" s="571"/>
      <c r="O33" s="572"/>
      <c r="P33" s="170"/>
    </row>
    <row r="34" spans="1:20" ht="23.4" x14ac:dyDescent="0.45">
      <c r="A34" s="208"/>
      <c r="B34" s="577" t="s">
        <v>82</v>
      </c>
      <c r="C34" s="582"/>
      <c r="D34" s="578"/>
      <c r="E34" s="578"/>
      <c r="F34" s="578"/>
      <c r="G34" s="578"/>
      <c r="H34" s="579"/>
      <c r="I34" s="578"/>
      <c r="J34" s="578"/>
      <c r="K34" s="579"/>
      <c r="L34" s="578"/>
      <c r="M34" s="578"/>
      <c r="N34" s="580"/>
      <c r="O34" s="581"/>
      <c r="P34" s="170"/>
    </row>
    <row r="35" spans="1:20" ht="23.4" x14ac:dyDescent="0.45">
      <c r="A35" s="208"/>
      <c r="B35" s="588" t="s">
        <v>83</v>
      </c>
      <c r="C35" s="593">
        <v>27.94</v>
      </c>
      <c r="D35" s="589">
        <v>28.68</v>
      </c>
      <c r="E35" s="589">
        <v>82.21</v>
      </c>
      <c r="F35" s="589">
        <v>32.33</v>
      </c>
      <c r="G35" s="589">
        <v>26.12</v>
      </c>
      <c r="H35" s="590">
        <v>33.520000000000003</v>
      </c>
      <c r="I35" s="589">
        <v>32.14</v>
      </c>
      <c r="J35" s="589">
        <v>20.38</v>
      </c>
      <c r="K35" s="590">
        <v>45.66</v>
      </c>
      <c r="L35" s="589">
        <v>33.19</v>
      </c>
      <c r="M35" s="589">
        <v>33.21</v>
      </c>
      <c r="N35" s="591"/>
      <c r="O35" s="379">
        <f>AVERAGE(C35:M35)</f>
        <v>35.943636363636365</v>
      </c>
      <c r="P35" s="221"/>
      <c r="Q35" s="222"/>
      <c r="S35" s="222"/>
      <c r="T35" s="222"/>
    </row>
    <row r="36" spans="1:20" ht="23.4" x14ac:dyDescent="0.45">
      <c r="A36" s="208"/>
      <c r="B36" s="349" t="s">
        <v>84</v>
      </c>
      <c r="C36" s="603">
        <v>27.68</v>
      </c>
      <c r="D36" s="599">
        <v>27.63</v>
      </c>
      <c r="E36" s="599">
        <v>94.38</v>
      </c>
      <c r="F36" s="599"/>
      <c r="G36" s="599">
        <v>26.72</v>
      </c>
      <c r="H36" s="600">
        <v>35.130000000000003</v>
      </c>
      <c r="I36" s="599">
        <v>36.97</v>
      </c>
      <c r="J36" s="599">
        <v>23.04</v>
      </c>
      <c r="K36" s="600">
        <v>36.11</v>
      </c>
      <c r="L36" s="599">
        <v>31.46</v>
      </c>
      <c r="M36" s="599">
        <v>31.54</v>
      </c>
      <c r="N36" s="601"/>
      <c r="O36" s="379">
        <f>AVERAGE(C36:M36)</f>
        <v>37.066000000000003</v>
      </c>
      <c r="P36" s="221"/>
      <c r="Q36" s="222"/>
      <c r="S36" s="222"/>
      <c r="T36" s="222"/>
    </row>
    <row r="37" spans="1:20" ht="24" thickBot="1" x14ac:dyDescent="0.5">
      <c r="A37" s="76"/>
      <c r="B37" s="607" t="s">
        <v>118</v>
      </c>
      <c r="C37" s="612">
        <v>26.2</v>
      </c>
      <c r="D37" s="612">
        <v>26.2</v>
      </c>
      <c r="E37" s="612">
        <v>26.2</v>
      </c>
      <c r="F37" s="612">
        <v>26.2</v>
      </c>
      <c r="G37" s="612">
        <v>26.2</v>
      </c>
      <c r="H37" s="612">
        <v>26.2</v>
      </c>
      <c r="I37" s="612">
        <v>26.2</v>
      </c>
      <c r="J37" s="612">
        <v>26.2</v>
      </c>
      <c r="K37" s="612">
        <v>26.2</v>
      </c>
      <c r="L37" s="612">
        <v>26.2</v>
      </c>
      <c r="M37" s="612">
        <v>26.2</v>
      </c>
      <c r="N37" s="610"/>
      <c r="O37" s="611"/>
      <c r="P37" s="221"/>
    </row>
    <row r="38" spans="1:20" ht="23.4" x14ac:dyDescent="0.45">
      <c r="A38" s="76"/>
      <c r="B38" s="617" t="s">
        <v>87</v>
      </c>
      <c r="C38" s="622">
        <f>148324.27+936366.43</f>
        <v>1084690.7</v>
      </c>
      <c r="D38" s="618">
        <f>92112.29+566735.49</f>
        <v>658847.78</v>
      </c>
      <c r="E38" s="618">
        <f>61572.67+170487.21</f>
        <v>232059.88</v>
      </c>
      <c r="F38" s="618">
        <f>33739.08+289877.24</f>
        <v>323616.32</v>
      </c>
      <c r="G38" s="618">
        <f>16802.44+61573.99</f>
        <v>78376.429999999993</v>
      </c>
      <c r="H38" s="619">
        <f>33779.36+107998.53</f>
        <v>141777.89000000001</v>
      </c>
      <c r="I38" s="618">
        <f>136598.02+488878.84</f>
        <v>625476.86</v>
      </c>
      <c r="J38" s="618">
        <f>77474.52+431457.96</f>
        <v>508932.48000000004</v>
      </c>
      <c r="K38" s="619">
        <f>116936.78+580065.57</f>
        <v>697002.35</v>
      </c>
      <c r="L38" s="618">
        <f>82939.99+639647.47</f>
        <v>722587.46</v>
      </c>
      <c r="M38" s="618">
        <f>31992.31+278618.55</f>
        <v>310610.86</v>
      </c>
      <c r="N38" s="620">
        <f>SUM(E38:K38)</f>
        <v>2607242.21</v>
      </c>
      <c r="O38" s="621">
        <f>AVERAGE(E38:K38)</f>
        <v>372463.17285714287</v>
      </c>
      <c r="P38" s="221"/>
    </row>
    <row r="39" spans="1:20" ht="24" thickBot="1" x14ac:dyDescent="0.5">
      <c r="A39" s="76"/>
      <c r="B39" s="365" t="s">
        <v>88</v>
      </c>
      <c r="C39" s="631">
        <v>291258.15999999997</v>
      </c>
      <c r="D39" s="627">
        <v>207338.31</v>
      </c>
      <c r="E39" s="627">
        <v>60995.41</v>
      </c>
      <c r="F39" s="627">
        <v>50699.16</v>
      </c>
      <c r="G39" s="627">
        <f>67581.85</f>
        <v>67581.850000000006</v>
      </c>
      <c r="H39" s="628">
        <v>14472.64</v>
      </c>
      <c r="I39" s="627">
        <v>234799.2</v>
      </c>
      <c r="J39" s="627">
        <v>128568.19</v>
      </c>
      <c r="K39" s="628">
        <v>208212.4</v>
      </c>
      <c r="L39" s="627">
        <v>139916.21</v>
      </c>
      <c r="M39" s="627">
        <v>58429.99</v>
      </c>
      <c r="N39" s="629">
        <f>SUM(E39:K39)</f>
        <v>765328.85</v>
      </c>
      <c r="O39" s="630">
        <f>AVERAGE(E39:K39)</f>
        <v>109332.69285714286</v>
      </c>
      <c r="P39" s="221"/>
    </row>
    <row r="40" spans="1:20" ht="24.6" thickTop="1" thickBot="1" x14ac:dyDescent="0.5">
      <c r="A40" s="76"/>
      <c r="B40" s="637" t="s">
        <v>89</v>
      </c>
      <c r="C40" s="642">
        <f>SUM(C38:C39)</f>
        <v>1375948.8599999999</v>
      </c>
      <c r="D40" s="638">
        <f>SUM(D38:D39)</f>
        <v>866186.09000000008</v>
      </c>
      <c r="E40" s="638">
        <f t="shared" ref="E40:M40" si="16">SUM(E38:E39)</f>
        <v>293055.29000000004</v>
      </c>
      <c r="F40" s="638">
        <f t="shared" si="16"/>
        <v>374315.48</v>
      </c>
      <c r="G40" s="638">
        <f t="shared" si="16"/>
        <v>145958.28</v>
      </c>
      <c r="H40" s="638">
        <f t="shared" si="16"/>
        <v>156250.53000000003</v>
      </c>
      <c r="I40" s="638">
        <f t="shared" si="16"/>
        <v>860276.06</v>
      </c>
      <c r="J40" s="638">
        <f t="shared" si="16"/>
        <v>637500.67000000004</v>
      </c>
      <c r="K40" s="638">
        <f t="shared" si="16"/>
        <v>905214.75</v>
      </c>
      <c r="L40" s="638">
        <f t="shared" si="16"/>
        <v>862503.66999999993</v>
      </c>
      <c r="M40" s="638">
        <f t="shared" si="16"/>
        <v>369040.85</v>
      </c>
      <c r="N40" s="640">
        <f>SUM(E40:K40)</f>
        <v>3372571.06</v>
      </c>
      <c r="O40" s="641">
        <f>AVERAGE(E40:N40)</f>
        <v>797668.66400000011</v>
      </c>
      <c r="P40" s="251"/>
    </row>
    <row r="41" spans="1:20" x14ac:dyDescent="0.3">
      <c r="E41" s="910"/>
    </row>
    <row r="42" spans="1:20" x14ac:dyDescent="0.3">
      <c r="B42" s="252"/>
    </row>
    <row r="43" spans="1:20" x14ac:dyDescent="0.3">
      <c r="C43" s="253"/>
      <c r="F43" s="222">
        <f>AVERAGE(E36,F35,G36,I36,J36,K36,C36,D36,H36,L36,M36)</f>
        <v>36.635454545454543</v>
      </c>
      <c r="G43">
        <f>STDEVPA(E36,F35,G36,I36,J36,K36,C36,D36,H36,L36,M36)</f>
        <v>18.715146691983986</v>
      </c>
    </row>
    <row r="44" spans="1:20" x14ac:dyDescent="0.3">
      <c r="B44" s="255"/>
      <c r="E44" s="222"/>
      <c r="F44" s="222">
        <f>F43+G43</f>
        <v>55.350601237438525</v>
      </c>
      <c r="G44" s="222">
        <f>F43-G43</f>
        <v>17.920307853470558</v>
      </c>
      <c r="I44" s="222"/>
    </row>
    <row r="47" spans="1:20" ht="15.75" customHeight="1" x14ac:dyDescent="0.3">
      <c r="A47" s="257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</row>
    <row r="48" spans="1:20" x14ac:dyDescent="0.3">
      <c r="A48" s="261"/>
      <c r="B48" s="258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</row>
    <row r="49" spans="1:15" x14ac:dyDescent="0.3">
      <c r="A49" s="261"/>
      <c r="B49" s="258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</row>
    <row r="50" spans="1:15" x14ac:dyDescent="0.3">
      <c r="A50" s="261"/>
      <c r="B50" s="258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</row>
    <row r="51" spans="1:15" x14ac:dyDescent="0.3">
      <c r="A51" s="261"/>
      <c r="B51" s="258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</row>
    <row r="52" spans="1:15" x14ac:dyDescent="0.3">
      <c r="A52" s="261"/>
      <c r="B52" s="258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</row>
    <row r="53" spans="1:15" x14ac:dyDescent="0.3">
      <c r="A53" s="261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</row>
    <row r="54" spans="1:15" x14ac:dyDescent="0.3">
      <c r="A54" s="261"/>
      <c r="B54" s="258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</row>
    <row r="55" spans="1:15" x14ac:dyDescent="0.3">
      <c r="A55" s="261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</row>
    <row r="56" spans="1:15" x14ac:dyDescent="0.3">
      <c r="A56" s="261"/>
      <c r="B56" s="258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</row>
    <row r="57" spans="1:15" x14ac:dyDescent="0.3">
      <c r="A57" s="261"/>
      <c r="B57" s="258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</row>
    <row r="58" spans="1:15" x14ac:dyDescent="0.3">
      <c r="A58" s="261"/>
      <c r="B58" s="25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</row>
    <row r="59" spans="1:15" x14ac:dyDescent="0.3">
      <c r="A59" s="261"/>
      <c r="B59" s="258"/>
      <c r="C59" s="258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</row>
    <row r="60" spans="1:15" x14ac:dyDescent="0.3">
      <c r="A60" s="257"/>
      <c r="B60" s="257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</row>
    <row r="61" spans="1:15" x14ac:dyDescent="0.3">
      <c r="A61" s="257"/>
      <c r="B61" s="273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</row>
    <row r="62" spans="1:15" x14ac:dyDescent="0.3">
      <c r="A62" s="257"/>
      <c r="B62" s="258"/>
      <c r="C62" s="260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</row>
    <row r="63" spans="1:15" x14ac:dyDescent="0.3">
      <c r="A63" s="257"/>
      <c r="B63" s="258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</row>
    <row r="64" spans="1:15" x14ac:dyDescent="0.3">
      <c r="A64" s="257"/>
      <c r="B64" s="258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</row>
    <row r="65" spans="1:15" x14ac:dyDescent="0.3">
      <c r="A65" s="257"/>
      <c r="B65" s="258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</row>
    <row r="66" spans="1:15" x14ac:dyDescent="0.3">
      <c r="A66" s="257"/>
      <c r="B66" s="258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</row>
    <row r="67" spans="1:15" x14ac:dyDescent="0.3">
      <c r="A67" s="257"/>
      <c r="B67" s="258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</row>
    <row r="68" spans="1:15" x14ac:dyDescent="0.3">
      <c r="A68" s="257"/>
      <c r="B68" s="258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</row>
    <row r="69" spans="1:15" x14ac:dyDescent="0.3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</row>
    <row r="70" spans="1:15" x14ac:dyDescent="0.3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</row>
    <row r="71" spans="1:15" x14ac:dyDescent="0.3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</row>
    <row r="72" spans="1:15" x14ac:dyDescent="0.3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</row>
    <row r="73" spans="1:15" x14ac:dyDescent="0.3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</row>
    <row r="74" spans="1:15" x14ac:dyDescent="0.3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</row>
  </sheetData>
  <printOptions headings="1" gridLines="1"/>
  <pageMargins left="0.25" right="0.25" top="0.75" bottom="0.75" header="0.3" footer="0.3"/>
  <pageSetup scale="35" orientation="landscape" r:id="rId1"/>
  <headerFooter>
    <oddFooter>&amp;L&amp;Z&amp;F&amp;C
&amp;P of &amp;N
&amp;R&amp;D</oddFooter>
  </headerFooter>
  <colBreaks count="2" manualBreakCount="2">
    <brk id="15" max="39" man="1"/>
    <brk id="18" min="1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E1BD-4CAC-4A5D-A8CF-CFF603F2A39A}">
  <dimension ref="A1:P57"/>
  <sheetViews>
    <sheetView view="pageBreakPreview" topLeftCell="A13" zoomScale="60" zoomScaleNormal="100" workbookViewId="0">
      <selection activeCell="H11" sqref="H11"/>
    </sheetView>
  </sheetViews>
  <sheetFormatPr defaultRowHeight="14.4" x14ac:dyDescent="0.3"/>
  <cols>
    <col min="1" max="1" width="20.6640625" bestFit="1" customWidth="1"/>
    <col min="2" max="2" width="36.88671875" bestFit="1" customWidth="1"/>
    <col min="3" max="3" width="23.44140625" bestFit="1" customWidth="1"/>
    <col min="4" max="4" width="23.44140625" customWidth="1"/>
    <col min="5" max="5" width="38.44140625" hidden="1" customWidth="1"/>
    <col min="6" max="6" width="27.6640625" hidden="1" customWidth="1"/>
    <col min="7" max="7" width="3.88671875" customWidth="1"/>
    <col min="8" max="8" width="33.5546875" customWidth="1"/>
    <col min="9" max="9" width="30.88671875" customWidth="1"/>
    <col min="10" max="10" width="28.6640625" customWidth="1"/>
    <col min="11" max="11" width="2.5546875" customWidth="1"/>
    <col min="12" max="12" width="20.6640625" bestFit="1" customWidth="1"/>
    <col min="13" max="13" width="13.33203125" bestFit="1" customWidth="1"/>
    <col min="14" max="14" width="36.44140625" customWidth="1"/>
    <col min="15" max="15" width="14.33203125" bestFit="1" customWidth="1"/>
    <col min="16" max="16" width="6.109375" bestFit="1" customWidth="1"/>
    <col min="17" max="19" width="12.5546875" bestFit="1" customWidth="1"/>
    <col min="20" max="20" width="11.5546875" bestFit="1" customWidth="1"/>
    <col min="21" max="21" width="14.33203125" bestFit="1" customWidth="1"/>
  </cols>
  <sheetData>
    <row r="1" spans="1:15" ht="23.4" x14ac:dyDescent="0.45">
      <c r="A1" s="2"/>
      <c r="B1" s="2" t="s">
        <v>90</v>
      </c>
      <c r="C1" s="2"/>
      <c r="D1" s="2"/>
      <c r="E1" s="2"/>
      <c r="F1" s="2"/>
      <c r="G1" s="2"/>
      <c r="H1" s="2"/>
      <c r="I1" s="2"/>
      <c r="J1" s="2"/>
      <c r="K1" s="2"/>
    </row>
    <row r="2" spans="1:15" ht="23.4" x14ac:dyDescent="0.45">
      <c r="A2" s="2"/>
      <c r="B2" s="2" t="s">
        <v>290</v>
      </c>
      <c r="C2" s="2"/>
      <c r="D2" s="2"/>
      <c r="E2" s="2"/>
      <c r="F2" s="2"/>
      <c r="G2" s="2"/>
      <c r="H2" s="2"/>
      <c r="I2" s="2"/>
      <c r="J2" s="2"/>
      <c r="K2" s="2"/>
    </row>
    <row r="3" spans="1:15" ht="23.4" x14ac:dyDescent="0.45">
      <c r="A3" s="2"/>
      <c r="B3" s="2" t="s">
        <v>92</v>
      </c>
      <c r="C3" s="2"/>
      <c r="D3" s="2"/>
      <c r="E3" s="2"/>
      <c r="F3" s="2"/>
      <c r="G3" s="2"/>
      <c r="H3" s="2"/>
      <c r="I3" s="2"/>
      <c r="J3" s="2"/>
      <c r="K3" s="2"/>
    </row>
    <row r="4" spans="1:15" ht="23.4" x14ac:dyDescent="0.45">
      <c r="A4" s="2"/>
      <c r="B4" s="2"/>
      <c r="C4" s="2"/>
      <c r="D4" s="2"/>
      <c r="E4" s="2"/>
      <c r="F4" s="2"/>
      <c r="G4" s="2"/>
      <c r="H4" s="943" t="s">
        <v>291</v>
      </c>
      <c r="I4" s="943"/>
      <c r="J4" s="2"/>
      <c r="K4" s="2"/>
    </row>
    <row r="5" spans="1:15" ht="23.25" customHeight="1" thickBot="1" x14ac:dyDescent="0.5">
      <c r="A5" s="2"/>
      <c r="B5" s="958" t="s">
        <v>292</v>
      </c>
      <c r="C5" s="958"/>
      <c r="D5" s="2"/>
      <c r="E5" s="2"/>
      <c r="F5" s="2"/>
      <c r="G5" s="2"/>
      <c r="H5" s="944"/>
      <c r="I5" s="944"/>
      <c r="J5" s="2"/>
      <c r="K5" s="2"/>
    </row>
    <row r="6" spans="1:15" ht="23.25" customHeight="1" x14ac:dyDescent="0.45">
      <c r="A6" s="2"/>
      <c r="B6" s="933" t="s">
        <v>293</v>
      </c>
      <c r="C6" s="277"/>
      <c r="D6" s="2"/>
      <c r="E6" s="2"/>
      <c r="F6" s="2"/>
      <c r="G6" s="2"/>
      <c r="H6" s="933" t="s">
        <v>293</v>
      </c>
      <c r="I6" s="277"/>
      <c r="J6" s="2"/>
      <c r="K6" s="2"/>
      <c r="L6" s="2"/>
      <c r="M6" s="276"/>
      <c r="N6" s="276"/>
    </row>
    <row r="7" spans="1:15" ht="24" thickBot="1" x14ac:dyDescent="0.5">
      <c r="A7" s="2"/>
      <c r="B7" s="934"/>
      <c r="C7" s="278"/>
      <c r="D7" s="2"/>
      <c r="E7" s="2"/>
      <c r="F7" s="2"/>
      <c r="G7" s="2"/>
      <c r="H7" s="934"/>
      <c r="I7" s="278"/>
      <c r="J7" s="2"/>
      <c r="K7" s="2"/>
      <c r="L7" s="2"/>
      <c r="M7" s="276"/>
      <c r="N7" s="276"/>
    </row>
    <row r="8" spans="1:15" ht="24" thickBot="1" x14ac:dyDescent="0.5">
      <c r="A8" s="2"/>
      <c r="B8" s="935"/>
      <c r="C8" s="369">
        <v>17848.4375</v>
      </c>
      <c r="D8" s="2"/>
      <c r="E8" s="2"/>
      <c r="F8" s="2"/>
      <c r="G8" s="2"/>
      <c r="H8" s="935"/>
      <c r="I8" s="280">
        <v>12841.38</v>
      </c>
      <c r="J8" s="2"/>
      <c r="K8" s="2"/>
      <c r="L8" s="2"/>
      <c r="M8" s="276"/>
      <c r="N8" s="276"/>
    </row>
    <row r="9" spans="1:15" ht="24" thickBot="1" x14ac:dyDescent="0.5">
      <c r="A9" s="2"/>
      <c r="B9" s="282"/>
      <c r="C9" s="283"/>
      <c r="D9" s="2"/>
      <c r="E9" s="2"/>
      <c r="F9" s="2"/>
      <c r="G9" s="2"/>
      <c r="H9" s="282"/>
      <c r="I9" s="283"/>
      <c r="J9" s="2"/>
      <c r="K9" s="2"/>
      <c r="L9" s="2"/>
      <c r="M9" s="2"/>
      <c r="N9" s="276"/>
      <c r="O9" s="276"/>
    </row>
    <row r="10" spans="1:15" ht="46.8" x14ac:dyDescent="0.45">
      <c r="A10" s="2"/>
      <c r="B10" s="284" t="s">
        <v>294</v>
      </c>
      <c r="C10" s="285">
        <f>C8</f>
        <v>17848.4375</v>
      </c>
      <c r="D10" s="2"/>
      <c r="E10" s="2"/>
      <c r="F10" s="2"/>
      <c r="G10" s="2"/>
      <c r="H10" s="284" t="s">
        <v>294</v>
      </c>
      <c r="I10" s="285">
        <f>I8</f>
        <v>12841.38</v>
      </c>
      <c r="J10" s="2"/>
      <c r="K10" s="2"/>
      <c r="L10" s="2"/>
      <c r="M10" s="2"/>
      <c r="N10" s="276"/>
      <c r="O10" s="276"/>
    </row>
    <row r="11" spans="1:15" ht="23.4" x14ac:dyDescent="0.45">
      <c r="A11" s="2"/>
      <c r="B11" s="286" t="s">
        <v>295</v>
      </c>
      <c r="C11" s="287">
        <v>0.161</v>
      </c>
      <c r="D11" s="2"/>
      <c r="E11" s="2"/>
      <c r="F11" s="2"/>
      <c r="G11" s="2"/>
      <c r="H11" s="286" t="s">
        <v>295</v>
      </c>
      <c r="I11" s="289">
        <v>0.1231</v>
      </c>
      <c r="J11" s="2"/>
      <c r="K11" s="2"/>
      <c r="L11" s="2"/>
      <c r="M11" s="2"/>
      <c r="N11" s="276"/>
      <c r="O11" s="276"/>
    </row>
    <row r="12" spans="1:15" ht="47.4" thickBot="1" x14ac:dyDescent="0.5">
      <c r="A12" s="2"/>
      <c r="B12" s="291" t="s">
        <v>296</v>
      </c>
      <c r="C12" s="292">
        <f>C10*C11</f>
        <v>2873.5984375000003</v>
      </c>
      <c r="D12" s="2"/>
      <c r="E12" s="2"/>
      <c r="F12" s="2"/>
      <c r="G12" s="2"/>
      <c r="H12" s="291" t="s">
        <v>296</v>
      </c>
      <c r="I12" s="292">
        <f>I10*I11</f>
        <v>1580.773878</v>
      </c>
      <c r="J12" s="2"/>
      <c r="K12" s="2"/>
      <c r="L12" s="2"/>
      <c r="M12" s="2"/>
      <c r="N12" s="276"/>
      <c r="O12" s="276"/>
    </row>
    <row r="13" spans="1:15" ht="24" thickBot="1" x14ac:dyDescent="0.5">
      <c r="A13" s="2"/>
      <c r="B13" s="282"/>
      <c r="C13" s="283"/>
      <c r="D13" s="2"/>
      <c r="E13" s="2"/>
      <c r="F13" s="2"/>
      <c r="G13" s="2"/>
      <c r="H13" s="282"/>
      <c r="I13" s="283"/>
      <c r="J13" s="2"/>
      <c r="K13" s="2"/>
      <c r="L13" s="2"/>
      <c r="M13" s="2"/>
      <c r="N13" s="276"/>
      <c r="O13" s="276"/>
    </row>
    <row r="14" spans="1:15" ht="46.8" x14ac:dyDescent="0.45">
      <c r="A14" s="2"/>
      <c r="B14" s="284" t="s">
        <v>108</v>
      </c>
      <c r="C14" s="293">
        <f>C10</f>
        <v>17848.4375</v>
      </c>
      <c r="D14" s="2"/>
      <c r="E14" s="2"/>
      <c r="F14" s="2"/>
      <c r="G14" s="2"/>
      <c r="H14" s="284" t="s">
        <v>108</v>
      </c>
      <c r="I14" s="293">
        <f>I10</f>
        <v>12841.38</v>
      </c>
      <c r="J14" s="2"/>
      <c r="K14" s="2"/>
      <c r="L14" s="2"/>
      <c r="M14" s="2"/>
      <c r="N14" s="276"/>
      <c r="O14" s="276"/>
    </row>
    <row r="15" spans="1:15" ht="46.8" x14ac:dyDescent="0.45">
      <c r="A15" s="2"/>
      <c r="B15" s="286" t="s">
        <v>297</v>
      </c>
      <c r="C15" s="294">
        <f>C12</f>
        <v>2873.5984375000003</v>
      </c>
      <c r="D15" s="2"/>
      <c r="E15" s="2"/>
      <c r="F15" s="2"/>
      <c r="G15" s="2"/>
      <c r="H15" s="286" t="s">
        <v>297</v>
      </c>
      <c r="I15" s="294">
        <f>I12</f>
        <v>1580.773878</v>
      </c>
      <c r="J15" s="2"/>
      <c r="K15" s="2"/>
      <c r="L15" s="2"/>
      <c r="M15" s="2"/>
      <c r="N15" s="276"/>
      <c r="O15" s="276"/>
    </row>
    <row r="16" spans="1:15" ht="47.4" thickBot="1" x14ac:dyDescent="0.5">
      <c r="A16" s="2"/>
      <c r="B16" s="291" t="s">
        <v>298</v>
      </c>
      <c r="C16" s="292">
        <f>C14+C15</f>
        <v>20722.035937500001</v>
      </c>
      <c r="D16" s="2"/>
      <c r="E16" s="2"/>
      <c r="F16" s="2"/>
      <c r="G16" s="2"/>
      <c r="H16" s="291" t="s">
        <v>298</v>
      </c>
      <c r="I16" s="292">
        <f>I14+I15</f>
        <v>14422.153877999999</v>
      </c>
      <c r="J16" s="2"/>
      <c r="K16" s="2"/>
      <c r="L16" s="2"/>
      <c r="M16" s="2"/>
      <c r="N16" s="276"/>
      <c r="O16" s="276"/>
    </row>
    <row r="17" spans="1:16" ht="24" thickBot="1" x14ac:dyDescent="0.5">
      <c r="A17" s="2"/>
      <c r="B17" s="282"/>
      <c r="C17" s="283"/>
      <c r="D17" s="2"/>
      <c r="E17" s="2"/>
      <c r="F17" s="2"/>
      <c r="G17" s="2"/>
      <c r="H17" s="282"/>
      <c r="I17" s="283"/>
      <c r="J17" s="2"/>
      <c r="K17" s="2"/>
      <c r="L17" s="2"/>
      <c r="M17" s="2"/>
      <c r="N17" s="276"/>
      <c r="O17" s="276"/>
    </row>
    <row r="18" spans="1:16" ht="46.8" x14ac:dyDescent="0.45">
      <c r="A18" s="2"/>
      <c r="B18" s="284" t="s">
        <v>299</v>
      </c>
      <c r="C18" s="293">
        <f>C16</f>
        <v>20722.035937500001</v>
      </c>
      <c r="D18" s="295">
        <v>0.7258</v>
      </c>
      <c r="E18" s="2"/>
      <c r="F18" s="2"/>
      <c r="G18" s="2"/>
      <c r="H18" s="284" t="s">
        <v>299</v>
      </c>
      <c r="I18" s="293">
        <f>I16</f>
        <v>14422.153877999999</v>
      </c>
      <c r="J18" s="296">
        <v>0.71419999999999995</v>
      </c>
      <c r="K18" s="2"/>
      <c r="L18" s="2"/>
      <c r="M18" s="2"/>
      <c r="N18" s="276"/>
      <c r="O18" s="276"/>
    </row>
    <row r="19" spans="1:16" ht="23.4" x14ac:dyDescent="0.45">
      <c r="A19" s="2"/>
      <c r="B19" s="286"/>
      <c r="C19" s="2"/>
      <c r="D19" s="298"/>
      <c r="E19" s="2"/>
      <c r="F19" s="2"/>
      <c r="G19" s="2"/>
      <c r="H19" s="286"/>
      <c r="I19" s="2"/>
      <c r="J19" s="298"/>
      <c r="K19" s="2"/>
      <c r="L19" s="2"/>
      <c r="M19" s="2"/>
      <c r="N19" s="276"/>
      <c r="O19" s="276"/>
    </row>
    <row r="20" spans="1:16" ht="23.4" x14ac:dyDescent="0.45">
      <c r="A20" s="2"/>
      <c r="B20" s="301" t="s">
        <v>78</v>
      </c>
      <c r="C20" s="302">
        <f>C22*D20</f>
        <v>7828.578470739184</v>
      </c>
      <c r="D20" s="303">
        <v>0.2742</v>
      </c>
      <c r="E20" s="2"/>
      <c r="F20" s="2"/>
      <c r="G20" s="2"/>
      <c r="H20" s="301" t="s">
        <v>78</v>
      </c>
      <c r="I20" s="302">
        <f>I22*J20</f>
        <v>5771.2847638370204</v>
      </c>
      <c r="J20" s="304">
        <v>0.2858</v>
      </c>
      <c r="K20" s="2"/>
      <c r="L20" s="2"/>
      <c r="M20" s="2"/>
      <c r="N20" s="276"/>
      <c r="O20" s="276"/>
    </row>
    <row r="21" spans="1:16" ht="24" thickBot="1" x14ac:dyDescent="0.5">
      <c r="A21" s="2"/>
      <c r="B21" s="301"/>
      <c r="C21" s="306"/>
      <c r="D21" s="298"/>
      <c r="E21" s="2"/>
      <c r="F21" s="2"/>
      <c r="G21" s="2"/>
      <c r="H21" s="301"/>
      <c r="I21" s="306"/>
      <c r="J21" s="298"/>
      <c r="K21" s="2"/>
      <c r="L21" s="2"/>
      <c r="M21" s="2"/>
      <c r="N21" s="276"/>
      <c r="O21" s="276"/>
    </row>
    <row r="22" spans="1:16" ht="24" thickBot="1" x14ac:dyDescent="0.5">
      <c r="A22" s="2"/>
      <c r="B22" s="291" t="s">
        <v>112</v>
      </c>
      <c r="C22" s="292">
        <f>C18/D18</f>
        <v>28550.614408239184</v>
      </c>
      <c r="D22" s="309">
        <f>SUM(D18:D20)</f>
        <v>1</v>
      </c>
      <c r="E22" s="2"/>
      <c r="F22" s="2"/>
      <c r="G22" s="2"/>
      <c r="H22" s="291" t="s">
        <v>112</v>
      </c>
      <c r="I22" s="292">
        <f>I18/J18</f>
        <v>20193.43864183702</v>
      </c>
      <c r="J22" s="309">
        <f>SUM(J18:J20)</f>
        <v>1</v>
      </c>
      <c r="K22" s="2"/>
      <c r="L22" s="2"/>
      <c r="M22" s="2"/>
      <c r="N22" s="276"/>
      <c r="O22" s="276"/>
    </row>
    <row r="23" spans="1:16" ht="24" thickBot="1" x14ac:dyDescent="0.5">
      <c r="A23" s="2"/>
      <c r="B23" s="282"/>
      <c r="C23" s="283"/>
      <c r="D23" s="2"/>
      <c r="E23" s="2"/>
      <c r="F23" s="2"/>
      <c r="G23" s="2"/>
      <c r="H23" s="282"/>
      <c r="I23" s="283"/>
      <c r="J23" s="2"/>
      <c r="K23" s="2"/>
      <c r="L23" s="2"/>
      <c r="M23" s="2"/>
      <c r="N23" s="276"/>
      <c r="O23" s="276"/>
    </row>
    <row r="24" spans="1:16" ht="70.2" x14ac:dyDescent="0.45">
      <c r="A24" s="2"/>
      <c r="B24" s="284" t="s">
        <v>300</v>
      </c>
      <c r="C24" s="293">
        <f>C22</f>
        <v>28550.614408239184</v>
      </c>
      <c r="D24" s="2"/>
      <c r="E24" s="2"/>
      <c r="F24" s="2"/>
      <c r="G24" s="2"/>
      <c r="H24" s="284" t="s">
        <v>300</v>
      </c>
      <c r="I24" s="293">
        <f>I22</f>
        <v>20193.43864183702</v>
      </c>
      <c r="J24" s="2"/>
      <c r="K24" s="2"/>
      <c r="L24" s="2"/>
      <c r="M24" s="2"/>
      <c r="N24" s="276"/>
      <c r="O24" s="276"/>
    </row>
    <row r="25" spans="1:16" ht="46.8" x14ac:dyDescent="0.45">
      <c r="A25" s="2"/>
      <c r="B25" s="286" t="s">
        <v>114</v>
      </c>
      <c r="C25" s="313">
        <v>3158</v>
      </c>
      <c r="D25" s="2"/>
      <c r="E25" s="2"/>
      <c r="F25" s="2"/>
      <c r="G25" s="2"/>
      <c r="H25" s="286" t="s">
        <v>114</v>
      </c>
      <c r="I25" s="313">
        <v>1496</v>
      </c>
      <c r="J25" s="2"/>
      <c r="K25" s="2"/>
      <c r="L25" s="2"/>
      <c r="M25" s="2"/>
      <c r="N25" s="276"/>
      <c r="O25" s="276"/>
    </row>
    <row r="26" spans="1:16" ht="47.4" thickBot="1" x14ac:dyDescent="0.5">
      <c r="A26" s="2"/>
      <c r="B26" s="291" t="s">
        <v>301</v>
      </c>
      <c r="C26" s="292">
        <f>C24/C25</f>
        <v>9.0407265383911284</v>
      </c>
      <c r="D26" s="2"/>
      <c r="E26" s="2"/>
      <c r="F26" s="2"/>
      <c r="G26" s="2"/>
      <c r="H26" s="291" t="s">
        <v>301</v>
      </c>
      <c r="I26" s="292">
        <f>I24/I25</f>
        <v>13.498287862190521</v>
      </c>
      <c r="J26" s="2"/>
      <c r="K26" s="2"/>
      <c r="L26" s="2"/>
      <c r="M26" s="2"/>
      <c r="N26" s="276"/>
      <c r="O26" s="276"/>
    </row>
    <row r="27" spans="1:16" ht="24" thickBot="1" x14ac:dyDescent="0.5">
      <c r="A27" s="2"/>
      <c r="B27" s="317" t="s">
        <v>117</v>
      </c>
      <c r="C27" s="318">
        <f>C26*1.0207</f>
        <v>9.2278695777358237</v>
      </c>
      <c r="D27" s="2"/>
      <c r="E27" s="2"/>
      <c r="F27" s="2"/>
      <c r="G27" s="2"/>
      <c r="H27" s="317" t="s">
        <v>117</v>
      </c>
      <c r="I27" s="318">
        <f>I26*1.0207</f>
        <v>13.777702420937864</v>
      </c>
      <c r="J27" s="2"/>
      <c r="K27" s="2"/>
      <c r="L27" s="2"/>
      <c r="M27" s="2"/>
      <c r="N27" s="276"/>
      <c r="O27" s="276"/>
    </row>
    <row r="28" spans="1:16" ht="24" thickBot="1" x14ac:dyDescent="0.5">
      <c r="A28" s="2"/>
      <c r="B28" s="319" t="s">
        <v>118</v>
      </c>
      <c r="C28" s="907">
        <v>10.119999999999999</v>
      </c>
      <c r="D28" s="2"/>
      <c r="E28" s="2"/>
      <c r="F28" s="2"/>
      <c r="G28" s="2"/>
      <c r="H28" s="319" t="s">
        <v>118</v>
      </c>
      <c r="I28" s="907">
        <v>10.119999999999999</v>
      </c>
      <c r="J28" s="2" t="s">
        <v>302</v>
      </c>
      <c r="K28" s="2"/>
      <c r="L28" s="2"/>
      <c r="M28" s="2"/>
      <c r="N28" s="276"/>
      <c r="O28" s="276"/>
    </row>
    <row r="29" spans="1:16" ht="24" thickBot="1" x14ac:dyDescent="0.5">
      <c r="A29" s="2"/>
      <c r="B29" s="319" t="s">
        <v>85</v>
      </c>
      <c r="C29" s="907">
        <v>10.32</v>
      </c>
      <c r="D29" s="2"/>
      <c r="E29" s="2"/>
      <c r="F29" s="2"/>
      <c r="G29" s="2"/>
      <c r="H29" s="319" t="s">
        <v>85</v>
      </c>
      <c r="I29" s="907">
        <v>10.32</v>
      </c>
      <c r="J29" s="2"/>
      <c r="K29" s="2"/>
      <c r="L29" s="2"/>
      <c r="M29" s="2"/>
      <c r="N29" s="276"/>
      <c r="O29" s="276"/>
    </row>
    <row r="30" spans="1:16" ht="24" thickBot="1" x14ac:dyDescent="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76"/>
      <c r="P30" s="276"/>
    </row>
    <row r="31" spans="1:16" ht="24" thickBot="1" x14ac:dyDescent="0.5">
      <c r="A31" s="2"/>
      <c r="B31" s="2"/>
      <c r="C31" s="2"/>
      <c r="D31" s="2"/>
      <c r="E31" s="319" t="s">
        <v>85</v>
      </c>
      <c r="F31" s="320">
        <v>67.59</v>
      </c>
      <c r="G31" s="2"/>
      <c r="H31" s="2"/>
      <c r="I31" s="2"/>
      <c r="J31" s="2"/>
      <c r="K31" s="2"/>
    </row>
    <row r="32" spans="1:16" ht="21" customHeight="1" x14ac:dyDescent="0.45">
      <c r="A32" s="2"/>
    </row>
    <row r="33" spans="1:1" ht="23.4" x14ac:dyDescent="0.45">
      <c r="A33" s="2"/>
    </row>
    <row r="34" spans="1:1" ht="23.4" x14ac:dyDescent="0.45">
      <c r="A34" s="2"/>
    </row>
    <row r="35" spans="1:1" ht="23.4" x14ac:dyDescent="0.45">
      <c r="A35" s="2"/>
    </row>
    <row r="36" spans="1:1" ht="23.4" x14ac:dyDescent="0.45">
      <c r="A36" s="2"/>
    </row>
    <row r="37" spans="1:1" ht="23.4" x14ac:dyDescent="0.45">
      <c r="A37" s="2"/>
    </row>
    <row r="38" spans="1:1" ht="23.4" x14ac:dyDescent="0.45">
      <c r="A38" s="2"/>
    </row>
    <row r="39" spans="1:1" ht="23.4" x14ac:dyDescent="0.45">
      <c r="A39" s="2"/>
    </row>
    <row r="40" spans="1:1" ht="23.4" x14ac:dyDescent="0.45">
      <c r="A40" s="2"/>
    </row>
    <row r="41" spans="1:1" ht="23.4" x14ac:dyDescent="0.45">
      <c r="A41" s="2"/>
    </row>
    <row r="42" spans="1:1" ht="23.4" x14ac:dyDescent="0.45">
      <c r="A42" s="2"/>
    </row>
    <row r="43" spans="1:1" ht="23.4" x14ac:dyDescent="0.45">
      <c r="A43" s="2"/>
    </row>
    <row r="44" spans="1:1" ht="23.4" x14ac:dyDescent="0.45">
      <c r="A44" s="2"/>
    </row>
    <row r="45" spans="1:1" ht="23.4" x14ac:dyDescent="0.45">
      <c r="A45" s="2"/>
    </row>
    <row r="46" spans="1:1" ht="23.4" x14ac:dyDescent="0.45">
      <c r="A46" s="2"/>
    </row>
    <row r="47" spans="1:1" ht="23.4" x14ac:dyDescent="0.45">
      <c r="A47" s="2"/>
    </row>
    <row r="48" spans="1:1" ht="23.4" x14ac:dyDescent="0.45">
      <c r="A48" s="61"/>
    </row>
    <row r="49" spans="1:1" ht="23.4" x14ac:dyDescent="0.45">
      <c r="A49" s="2"/>
    </row>
    <row r="50" spans="1:1" ht="23.4" x14ac:dyDescent="0.45">
      <c r="A50" s="2"/>
    </row>
    <row r="51" spans="1:1" ht="23.4" x14ac:dyDescent="0.45">
      <c r="A51" s="2"/>
    </row>
    <row r="52" spans="1:1" ht="51" customHeight="1" x14ac:dyDescent="0.45">
      <c r="A52" s="2"/>
    </row>
    <row r="53" spans="1:1" ht="23.4" x14ac:dyDescent="0.45">
      <c r="A53" s="2"/>
    </row>
    <row r="54" spans="1:1" ht="23.4" x14ac:dyDescent="0.45">
      <c r="A54" s="2"/>
    </row>
    <row r="55" spans="1:1" ht="23.4" x14ac:dyDescent="0.45">
      <c r="A55" s="2"/>
    </row>
    <row r="56" spans="1:1" ht="23.4" x14ac:dyDescent="0.45">
      <c r="A56" s="2"/>
    </row>
    <row r="57" spans="1:1" ht="23.4" x14ac:dyDescent="0.45">
      <c r="A57" s="2"/>
    </row>
  </sheetData>
  <mergeCells count="4">
    <mergeCell ref="H4:I5"/>
    <mergeCell ref="B5:C5"/>
    <mergeCell ref="B6:B8"/>
    <mergeCell ref="H6:H8"/>
  </mergeCells>
  <printOptions headings="1" gridLines="1"/>
  <pageMargins left="0.25" right="0.25" top="0.75" bottom="0.75" header="0.3" footer="0.3"/>
  <pageSetup scale="53" orientation="landscape" r:id="rId1"/>
  <headerFooter>
    <oddFooter>&amp;L&amp;Z&amp;F&amp;C
&amp;P of &amp;N
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CFF9-D97F-4E78-BA68-D67C749BB862}">
  <dimension ref="A1:P74"/>
  <sheetViews>
    <sheetView view="pageBreakPreview" zoomScale="55" zoomScaleNormal="50" zoomScaleSheetLayoutView="55" workbookViewId="0">
      <selection activeCell="H11" sqref="H11"/>
    </sheetView>
  </sheetViews>
  <sheetFormatPr defaultRowHeight="14.4" x14ac:dyDescent="0.3"/>
  <cols>
    <col min="1" max="1" width="9.109375" customWidth="1"/>
    <col min="2" max="2" width="64.88671875" customWidth="1"/>
    <col min="3" max="3" width="24.44140625" bestFit="1" customWidth="1"/>
    <col min="4" max="4" width="21.88671875" bestFit="1" customWidth="1"/>
    <col min="5" max="5" width="24.44140625" bestFit="1" customWidth="1"/>
    <col min="6" max="6" width="21.88671875" bestFit="1" customWidth="1"/>
    <col min="7" max="8" width="24.44140625" customWidth="1"/>
    <col min="9" max="9" width="5.88671875" customWidth="1"/>
    <col min="10" max="12" width="23.88671875" bestFit="1" customWidth="1"/>
    <col min="13" max="13" width="22.6640625" bestFit="1" customWidth="1"/>
    <col min="14" max="14" width="13.44140625" bestFit="1" customWidth="1"/>
    <col min="15" max="15" width="12.33203125" bestFit="1" customWidth="1"/>
  </cols>
  <sheetData>
    <row r="1" spans="1:16" ht="23.4" x14ac:dyDescent="0.45">
      <c r="A1" s="75" t="s">
        <v>279</v>
      </c>
      <c r="B1" s="2"/>
      <c r="C1" s="2"/>
      <c r="D1" s="2"/>
      <c r="E1" s="2"/>
      <c r="F1" s="2"/>
      <c r="G1" s="2"/>
      <c r="H1" s="2"/>
      <c r="I1" s="76"/>
    </row>
    <row r="2" spans="1:16" ht="24" thickBot="1" x14ac:dyDescent="0.5">
      <c r="A2" s="75" t="s">
        <v>303</v>
      </c>
      <c r="B2" s="2"/>
      <c r="C2" s="2"/>
      <c r="D2" s="2"/>
      <c r="E2" s="2"/>
      <c r="F2" s="2"/>
      <c r="G2" s="2"/>
      <c r="H2" s="2"/>
      <c r="I2" s="78"/>
    </row>
    <row r="3" spans="1:16" ht="24" thickBot="1" x14ac:dyDescent="0.5">
      <c r="A3" s="76"/>
      <c r="B3" s="338" t="s">
        <v>52</v>
      </c>
      <c r="C3" s="343" t="s">
        <v>47</v>
      </c>
      <c r="D3" s="339" t="s">
        <v>53</v>
      </c>
      <c r="E3" s="339" t="s">
        <v>42</v>
      </c>
      <c r="F3" s="339" t="s">
        <v>44</v>
      </c>
      <c r="G3" s="341" t="s">
        <v>131</v>
      </c>
      <c r="H3" s="342" t="s">
        <v>48</v>
      </c>
      <c r="I3" s="86"/>
      <c r="P3" s="87" t="s">
        <v>56</v>
      </c>
    </row>
    <row r="4" spans="1:16" ht="23.4" x14ac:dyDescent="0.45">
      <c r="A4" s="76"/>
      <c r="B4" s="349" t="s">
        <v>304</v>
      </c>
      <c r="C4" s="354"/>
      <c r="D4" s="350"/>
      <c r="E4" s="350"/>
      <c r="F4" s="350"/>
      <c r="G4" s="352"/>
      <c r="H4" s="353"/>
      <c r="I4" s="93"/>
    </row>
    <row r="5" spans="1:16" ht="24" thickBot="1" x14ac:dyDescent="0.5">
      <c r="A5" s="76"/>
      <c r="B5" s="359"/>
      <c r="C5" s="360"/>
      <c r="D5" s="360"/>
      <c r="E5" s="360"/>
      <c r="F5" s="360"/>
      <c r="G5" s="359"/>
      <c r="H5" s="361"/>
      <c r="I5" s="93"/>
    </row>
    <row r="6" spans="1:16" ht="70.2" x14ac:dyDescent="0.45">
      <c r="A6" s="76" t="s">
        <v>58</v>
      </c>
      <c r="B6" s="365" t="s">
        <v>293</v>
      </c>
      <c r="C6" s="370">
        <v>22343</v>
      </c>
      <c r="D6" s="366">
        <v>23082</v>
      </c>
      <c r="E6" s="366">
        <v>22629</v>
      </c>
      <c r="F6" s="366">
        <v>3339.75</v>
      </c>
      <c r="G6" s="908">
        <f>SUM(C6:F6)</f>
        <v>71393.75</v>
      </c>
      <c r="H6" s="369">
        <f>AVERAGE(C6:F6)</f>
        <v>17848.4375</v>
      </c>
      <c r="I6" s="93"/>
      <c r="J6" s="375"/>
      <c r="K6" s="375"/>
      <c r="L6" s="376"/>
      <c r="M6" s="376"/>
    </row>
    <row r="7" spans="1:16" ht="28.5" customHeight="1" x14ac:dyDescent="0.45">
      <c r="A7" s="76" t="s">
        <v>60</v>
      </c>
      <c r="B7" s="365" t="s">
        <v>305</v>
      </c>
      <c r="C7" s="380">
        <v>23925</v>
      </c>
      <c r="D7" s="377">
        <v>28977.58</v>
      </c>
      <c r="E7" s="377">
        <v>23720.73</v>
      </c>
      <c r="F7" s="377">
        <v>3936.75</v>
      </c>
      <c r="G7" s="908">
        <f>SUM(C7:F7)</f>
        <v>80560.06</v>
      </c>
      <c r="H7" s="379">
        <f>AVERAGE(C7:F7)</f>
        <v>20140.014999999999</v>
      </c>
      <c r="I7" s="93"/>
      <c r="J7" s="375"/>
      <c r="K7" s="375"/>
      <c r="L7" s="376"/>
      <c r="M7" s="376"/>
    </row>
    <row r="8" spans="1:16" ht="23.4" x14ac:dyDescent="0.45">
      <c r="A8" s="76"/>
      <c r="B8" s="385" t="s">
        <v>62</v>
      </c>
      <c r="C8" s="390">
        <f>C6/C7</f>
        <v>0.93387669801462903</v>
      </c>
      <c r="D8" s="386">
        <f>D6/D7</f>
        <v>0.79654684759734939</v>
      </c>
      <c r="E8" s="386">
        <f t="shared" ref="E8:F8" si="0">E6/E7</f>
        <v>0.95397569973605367</v>
      </c>
      <c r="F8" s="386">
        <f t="shared" si="0"/>
        <v>0.84835206706039246</v>
      </c>
      <c r="G8" s="908"/>
      <c r="H8" s="389"/>
      <c r="I8" s="93"/>
    </row>
    <row r="9" spans="1:16" ht="23.4" x14ac:dyDescent="0.45">
      <c r="A9" s="76" t="s">
        <v>63</v>
      </c>
      <c r="B9" s="394" t="s">
        <v>306</v>
      </c>
      <c r="C9" s="398">
        <v>4346</v>
      </c>
      <c r="D9" s="395">
        <v>9522.2000000000007</v>
      </c>
      <c r="E9" s="395">
        <v>9429.82</v>
      </c>
      <c r="F9" s="395">
        <v>959.18</v>
      </c>
      <c r="G9" s="908">
        <f>SUM(C9:F9)</f>
        <v>24257.200000000001</v>
      </c>
      <c r="H9" s="379">
        <f>AVERAGE(C9:F9)</f>
        <v>6064.3</v>
      </c>
      <c r="I9" s="93"/>
      <c r="J9" s="375"/>
      <c r="K9" s="375"/>
      <c r="L9" s="376"/>
      <c r="M9" s="376"/>
    </row>
    <row r="10" spans="1:16" ht="23.4" x14ac:dyDescent="0.45">
      <c r="A10" s="76"/>
      <c r="B10" s="399" t="s">
        <v>65</v>
      </c>
      <c r="C10" s="403">
        <f>C8*C9</f>
        <v>4058.6281295715776</v>
      </c>
      <c r="D10" s="400">
        <f>D8*D9</f>
        <v>7584.878392191481</v>
      </c>
      <c r="E10" s="400">
        <f>E8*E9</f>
        <v>8995.8191328850335</v>
      </c>
      <c r="F10" s="400">
        <f t="shared" ref="F10" si="1">F8*F9</f>
        <v>813.72233568298725</v>
      </c>
      <c r="G10" s="908">
        <f>SUM(C10:F10)</f>
        <v>21453.047990331077</v>
      </c>
      <c r="H10" s="379">
        <f>AVERAGE(C10:F10)</f>
        <v>5363.2619975827693</v>
      </c>
      <c r="I10" s="93"/>
    </row>
    <row r="11" spans="1:16" ht="70.2" x14ac:dyDescent="0.45">
      <c r="A11" s="76"/>
      <c r="B11" s="394" t="s">
        <v>307</v>
      </c>
      <c r="C11" s="403">
        <f>C6+C10</f>
        <v>26401.628129571578</v>
      </c>
      <c r="D11" s="400">
        <f>D6+D10</f>
        <v>30666.87839219148</v>
      </c>
      <c r="E11" s="400">
        <f t="shared" ref="E11:F11" si="2">E6+E10</f>
        <v>31624.819132885033</v>
      </c>
      <c r="F11" s="400">
        <f t="shared" si="2"/>
        <v>4153.4723356829873</v>
      </c>
      <c r="G11" s="908">
        <f>SUM(C11:F11)</f>
        <v>92846.797990331092</v>
      </c>
      <c r="H11" s="379">
        <f>AVERAGE(C11:F11)</f>
        <v>23211.699497582773</v>
      </c>
      <c r="I11" s="93"/>
      <c r="J11" s="406"/>
      <c r="K11" s="407"/>
      <c r="L11" s="407"/>
    </row>
    <row r="12" spans="1:16" ht="23.4" x14ac:dyDescent="0.45">
      <c r="A12" s="76" t="s">
        <v>68</v>
      </c>
      <c r="B12" s="394" t="s">
        <v>308</v>
      </c>
      <c r="C12" s="398">
        <v>33025</v>
      </c>
      <c r="D12" s="395">
        <v>52187.98</v>
      </c>
      <c r="E12" s="395">
        <v>35644.93</v>
      </c>
      <c r="F12" s="395">
        <v>6604.22</v>
      </c>
      <c r="G12" s="908">
        <f>SUM(C12:F12)</f>
        <v>127462.13</v>
      </c>
      <c r="H12" s="379">
        <f>AVERAGE(C12:F12)</f>
        <v>31865.532500000001</v>
      </c>
      <c r="I12" s="93"/>
      <c r="J12" s="375"/>
      <c r="K12" s="375"/>
      <c r="L12" s="376"/>
      <c r="M12" s="376"/>
    </row>
    <row r="13" spans="1:16" ht="23.4" x14ac:dyDescent="0.45">
      <c r="A13" s="76"/>
      <c r="B13" s="349"/>
      <c r="C13" s="412"/>
      <c r="D13" s="400"/>
      <c r="E13" s="408"/>
      <c r="F13" s="408"/>
      <c r="G13" s="410"/>
      <c r="H13" s="411"/>
      <c r="I13" s="93"/>
    </row>
    <row r="14" spans="1:16" ht="23.4" x14ac:dyDescent="0.45">
      <c r="A14" s="115"/>
      <c r="B14" s="349"/>
      <c r="C14" s="420"/>
      <c r="D14" s="416"/>
      <c r="E14" s="416"/>
      <c r="F14" s="416"/>
      <c r="G14" s="418"/>
      <c r="H14" s="419"/>
      <c r="I14" s="93"/>
    </row>
    <row r="15" spans="1:16" ht="46.8" x14ac:dyDescent="0.45">
      <c r="A15" s="120"/>
      <c r="B15" s="424" t="s">
        <v>309</v>
      </c>
      <c r="C15" s="429">
        <f>C11/C12</f>
        <v>0.79944369809452165</v>
      </c>
      <c r="D15" s="425">
        <f>D11/D12</f>
        <v>0.5876234027872218</v>
      </c>
      <c r="E15" s="425">
        <f t="shared" ref="E15:F15" si="3">E11/E12</f>
        <v>0.88721787734987934</v>
      </c>
      <c r="F15" s="425">
        <f t="shared" si="3"/>
        <v>0.62891186781830211</v>
      </c>
      <c r="G15" s="427"/>
      <c r="H15" s="438">
        <f>AVERAGE(C15:F15)</f>
        <v>0.72579921151248117</v>
      </c>
      <c r="I15" s="93"/>
      <c r="J15" s="253"/>
    </row>
    <row r="16" spans="1:16" ht="23.4" x14ac:dyDescent="0.45">
      <c r="A16" s="115"/>
      <c r="B16" s="434"/>
      <c r="C16" s="439"/>
      <c r="D16" s="435"/>
      <c r="E16" s="435"/>
      <c r="F16" s="435"/>
      <c r="G16" s="437"/>
      <c r="H16" s="438"/>
      <c r="I16" s="93"/>
      <c r="J16" s="253"/>
    </row>
    <row r="17" spans="1:13" ht="46.8" x14ac:dyDescent="0.45">
      <c r="A17" s="115"/>
      <c r="B17" s="434" t="s">
        <v>138</v>
      </c>
      <c r="C17" s="439">
        <f>C10/C12</f>
        <v>0.12289562845031272</v>
      </c>
      <c r="D17" s="435">
        <f>D10/D12</f>
        <v>0.14533765039749538</v>
      </c>
      <c r="E17" s="435">
        <f t="shared" ref="E17:F17" si="4">E10/E12</f>
        <v>0.25237303405800021</v>
      </c>
      <c r="F17" s="435">
        <f t="shared" si="4"/>
        <v>0.12321248166823444</v>
      </c>
      <c r="G17" s="437"/>
      <c r="H17" s="445">
        <f>AVERAGE(C17:F17)</f>
        <v>0.16095469864351067</v>
      </c>
      <c r="I17" s="93"/>
      <c r="J17" s="253"/>
    </row>
    <row r="18" spans="1:13" ht="24" thickBot="1" x14ac:dyDescent="0.4">
      <c r="A18" s="115"/>
      <c r="B18" s="447"/>
      <c r="C18" s="452"/>
      <c r="D18" s="448"/>
      <c r="E18" s="448"/>
      <c r="F18" s="448"/>
      <c r="G18" s="450"/>
      <c r="H18" s="451"/>
      <c r="I18" s="93"/>
    </row>
    <row r="19" spans="1:13" ht="22.5" customHeight="1" thickBot="1" x14ac:dyDescent="0.4">
      <c r="A19" s="134"/>
      <c r="B19" s="458" t="s">
        <v>310</v>
      </c>
      <c r="C19" s="463">
        <v>0</v>
      </c>
      <c r="D19" s="459">
        <v>0</v>
      </c>
      <c r="E19" s="459"/>
      <c r="F19" s="459"/>
      <c r="G19" s="461"/>
      <c r="H19" s="462"/>
      <c r="I19" s="93"/>
    </row>
    <row r="20" spans="1:13" ht="15.75" customHeight="1" thickBot="1" x14ac:dyDescent="0.4">
      <c r="A20" s="134"/>
      <c r="B20" s="467"/>
      <c r="C20" s="472"/>
      <c r="D20" s="468"/>
      <c r="E20" s="468"/>
      <c r="F20" s="468"/>
      <c r="G20" s="470"/>
      <c r="H20" s="471"/>
      <c r="I20" s="93"/>
    </row>
    <row r="21" spans="1:13" ht="23.25" customHeight="1" thickBot="1" x14ac:dyDescent="0.4">
      <c r="A21" s="134"/>
      <c r="B21" s="476" t="s">
        <v>76</v>
      </c>
      <c r="C21" s="481">
        <f>C19+C11</f>
        <v>26401.628129571578</v>
      </c>
      <c r="D21" s="477">
        <f>D19+D11</f>
        <v>30666.87839219148</v>
      </c>
      <c r="E21" s="477">
        <f t="shared" ref="E21:F21" si="5">E19+E11</f>
        <v>31624.819132885033</v>
      </c>
      <c r="F21" s="477">
        <f t="shared" si="5"/>
        <v>4153.4723356829873</v>
      </c>
      <c r="G21" s="477">
        <f>SUM(C21:F21)</f>
        <v>92846.797990331092</v>
      </c>
      <c r="H21" s="477">
        <f>AVERAGE(C21:F21)</f>
        <v>23211.699497582773</v>
      </c>
      <c r="I21" s="93"/>
    </row>
    <row r="22" spans="1:13" ht="15.75" customHeight="1" thickBot="1" x14ac:dyDescent="0.4">
      <c r="A22" s="134"/>
      <c r="B22" s="467"/>
      <c r="C22" s="491"/>
      <c r="D22" s="487"/>
      <c r="E22" s="487"/>
      <c r="F22" s="487"/>
      <c r="G22" s="489"/>
      <c r="H22" s="490"/>
      <c r="I22" s="156"/>
    </row>
    <row r="23" spans="1:13" ht="47.4" thickBot="1" x14ac:dyDescent="0.5">
      <c r="A23" s="134"/>
      <c r="B23" s="495" t="s">
        <v>77</v>
      </c>
      <c r="C23" s="500">
        <f>C21/C12</f>
        <v>0.79944369809452165</v>
      </c>
      <c r="D23" s="496">
        <f>D21/D12</f>
        <v>0.5876234027872218</v>
      </c>
      <c r="E23" s="496">
        <f t="shared" ref="E23:F23" si="6">E21/E12</f>
        <v>0.88721787734987934</v>
      </c>
      <c r="F23" s="496">
        <f t="shared" si="6"/>
        <v>0.62891186781830211</v>
      </c>
      <c r="G23" s="498"/>
      <c r="H23" s="499">
        <f>AVERAGE(C23:F23)</f>
        <v>0.72579921151248117</v>
      </c>
      <c r="I23" s="156"/>
    </row>
    <row r="24" spans="1:13" ht="24" thickBot="1" x14ac:dyDescent="0.5">
      <c r="A24" s="115"/>
      <c r="B24" s="504"/>
      <c r="C24" s="508"/>
      <c r="D24" s="505"/>
      <c r="E24" s="505"/>
      <c r="F24" s="505"/>
      <c r="G24" s="504"/>
      <c r="H24" s="507"/>
      <c r="I24" s="165"/>
    </row>
    <row r="25" spans="1:13" ht="23.25" customHeight="1" thickBot="1" x14ac:dyDescent="0.5">
      <c r="A25" s="115"/>
      <c r="B25" s="512" t="s">
        <v>78</v>
      </c>
      <c r="C25" s="517">
        <f>C12-C21</f>
        <v>6623.371870428422</v>
      </c>
      <c r="D25" s="513">
        <f>D12-D21</f>
        <v>21521.101607808523</v>
      </c>
      <c r="E25" s="513">
        <f t="shared" ref="E25:F25" si="7">E12-E21</f>
        <v>4020.1108671149668</v>
      </c>
      <c r="F25" s="513">
        <f t="shared" si="7"/>
        <v>2450.747664317013</v>
      </c>
      <c r="G25" s="513">
        <f>SUM(C25:F25)</f>
        <v>34615.332009668928</v>
      </c>
      <c r="H25" s="513">
        <f>AVERAGE(C25:F25)</f>
        <v>8653.8330024172319</v>
      </c>
      <c r="I25" s="170"/>
      <c r="J25" s="521"/>
      <c r="K25" s="521"/>
      <c r="L25" s="222"/>
      <c r="M25" s="222"/>
    </row>
    <row r="26" spans="1:13" ht="23.4" x14ac:dyDescent="0.45">
      <c r="A26" s="115"/>
      <c r="B26" s="504"/>
      <c r="C26" s="526"/>
      <c r="D26" s="522"/>
      <c r="E26" s="522"/>
      <c r="F26" s="522"/>
      <c r="G26" s="524"/>
      <c r="H26" s="525"/>
      <c r="I26" s="170"/>
    </row>
    <row r="27" spans="1:13" ht="46.8" x14ac:dyDescent="0.45">
      <c r="A27" s="115"/>
      <c r="B27" s="531" t="s">
        <v>140</v>
      </c>
      <c r="C27" s="536">
        <f>C25/C12</f>
        <v>0.20055630190547832</v>
      </c>
      <c r="D27" s="532">
        <f>D25/D12</f>
        <v>0.41237659721277814</v>
      </c>
      <c r="E27" s="532">
        <f t="shared" ref="E27:F27" si="8">E25/E12</f>
        <v>0.11278212265012069</v>
      </c>
      <c r="F27" s="532">
        <f t="shared" si="8"/>
        <v>0.37108813218169789</v>
      </c>
      <c r="G27" s="534"/>
      <c r="H27" s="535">
        <f>AVERAGE(C27:F27)</f>
        <v>0.27420078848751872</v>
      </c>
      <c r="I27" s="170"/>
    </row>
    <row r="28" spans="1:13" ht="24" thickBot="1" x14ac:dyDescent="0.5">
      <c r="A28" s="115"/>
      <c r="B28" s="504"/>
      <c r="C28" s="526"/>
      <c r="D28" s="522"/>
      <c r="E28" s="522"/>
      <c r="F28" s="522"/>
      <c r="G28" s="524"/>
      <c r="H28" s="525"/>
      <c r="I28" s="170"/>
    </row>
    <row r="29" spans="1:13" ht="22.5" customHeight="1" thickBot="1" x14ac:dyDescent="0.5">
      <c r="A29" s="115"/>
      <c r="B29" s="538" t="s">
        <v>79</v>
      </c>
      <c r="C29" s="543">
        <f>C10</f>
        <v>4058.6281295715776</v>
      </c>
      <c r="D29" s="539">
        <f>D10</f>
        <v>7584.878392191481</v>
      </c>
      <c r="E29" s="539">
        <f t="shared" ref="E29:F29" si="9">E10</f>
        <v>8995.8191328850335</v>
      </c>
      <c r="F29" s="539">
        <f t="shared" si="9"/>
        <v>813.72233568298725</v>
      </c>
      <c r="G29" s="541"/>
      <c r="H29" s="379">
        <f>AVERAGE(C29:F29)</f>
        <v>5363.2619975827693</v>
      </c>
      <c r="I29" s="170"/>
      <c r="J29" s="547"/>
      <c r="K29" s="76"/>
      <c r="L29" s="548"/>
      <c r="M29" s="548"/>
    </row>
    <row r="30" spans="1:13" ht="24" thickBot="1" x14ac:dyDescent="0.5">
      <c r="A30" s="115"/>
      <c r="B30" s="504"/>
      <c r="C30" s="526"/>
      <c r="D30" s="522"/>
      <c r="E30" s="522"/>
      <c r="F30" s="522"/>
      <c r="G30" s="524"/>
      <c r="H30" s="525"/>
      <c r="I30" s="170"/>
    </row>
    <row r="31" spans="1:13" ht="25.5" customHeight="1" thickBot="1" x14ac:dyDescent="0.5">
      <c r="A31" s="115"/>
      <c r="B31" s="512" t="s">
        <v>81</v>
      </c>
      <c r="C31" s="553">
        <f>C10/C11</f>
        <v>0.15372643344770259</v>
      </c>
      <c r="D31" s="549">
        <f>D10/D11</f>
        <v>0.24733128345148989</v>
      </c>
      <c r="E31" s="549">
        <f t="shared" ref="E31:F31" si="10">E10/E11</f>
        <v>0.28445440573384151</v>
      </c>
      <c r="F31" s="549">
        <f t="shared" si="10"/>
        <v>0.19591374876683287</v>
      </c>
      <c r="G31" s="551"/>
      <c r="H31" s="909">
        <f>AVERAGE(C31:F31)</f>
        <v>0.22035646784996671</v>
      </c>
      <c r="I31" s="170"/>
    </row>
    <row r="32" spans="1:13" ht="23.4" x14ac:dyDescent="0.45">
      <c r="A32" s="115"/>
      <c r="B32" s="558"/>
      <c r="C32" s="563"/>
      <c r="D32" s="559"/>
      <c r="E32" s="559"/>
      <c r="F32" s="559"/>
      <c r="G32" s="561"/>
      <c r="H32" s="562"/>
      <c r="I32" s="170"/>
    </row>
    <row r="33" spans="1:13" ht="23.4" x14ac:dyDescent="0.45">
      <c r="A33" s="115"/>
      <c r="B33" s="349"/>
      <c r="C33" s="573"/>
      <c r="D33" s="569"/>
      <c r="E33" s="569"/>
      <c r="F33" s="569"/>
      <c r="G33" s="571"/>
      <c r="H33" s="572"/>
      <c r="I33" s="170"/>
    </row>
    <row r="34" spans="1:13" ht="23.4" x14ac:dyDescent="0.45">
      <c r="A34" s="208"/>
      <c r="B34" s="577" t="s">
        <v>82</v>
      </c>
      <c r="C34" s="582"/>
      <c r="D34" s="578"/>
      <c r="E34" s="578"/>
      <c r="F34" s="578"/>
      <c r="G34" s="580"/>
      <c r="H34" s="581"/>
      <c r="I34" s="170"/>
    </row>
    <row r="35" spans="1:13" ht="23.4" x14ac:dyDescent="0.45">
      <c r="A35" s="208"/>
      <c r="B35" s="588" t="s">
        <v>83</v>
      </c>
      <c r="C35" s="593">
        <v>12.54</v>
      </c>
      <c r="D35" s="589">
        <v>5.36</v>
      </c>
      <c r="E35" s="589">
        <v>16.96</v>
      </c>
      <c r="F35" s="589">
        <v>19.440000000000001</v>
      </c>
      <c r="G35" s="591"/>
      <c r="H35" s="379">
        <f>AVERAGE(C35:F35)</f>
        <v>13.574999999999999</v>
      </c>
      <c r="I35" s="221"/>
      <c r="J35" s="222"/>
      <c r="L35" s="222"/>
      <c r="M35" s="222"/>
    </row>
    <row r="36" spans="1:13" ht="23.4" x14ac:dyDescent="0.45">
      <c r="A36" s="208"/>
      <c r="B36" s="349" t="s">
        <v>84</v>
      </c>
      <c r="C36" s="603">
        <v>12.36</v>
      </c>
      <c r="D36" s="599">
        <v>6.23</v>
      </c>
      <c r="E36" s="599">
        <v>28.16</v>
      </c>
      <c r="F36" s="599">
        <v>20.64</v>
      </c>
      <c r="G36" s="601"/>
      <c r="H36" s="379">
        <f>AVERAGE(C36:F36)</f>
        <v>16.8475</v>
      </c>
      <c r="I36" s="221"/>
      <c r="J36" s="222"/>
      <c r="L36" s="222"/>
      <c r="M36" s="222"/>
    </row>
    <row r="37" spans="1:13" ht="24" thickBot="1" x14ac:dyDescent="0.5">
      <c r="A37" s="76"/>
      <c r="B37" s="607" t="s">
        <v>118</v>
      </c>
      <c r="C37" s="612">
        <v>10.32</v>
      </c>
      <c r="D37" s="612">
        <v>10.32</v>
      </c>
      <c r="E37" s="612">
        <v>10.32</v>
      </c>
      <c r="F37" s="612">
        <v>10.32</v>
      </c>
      <c r="G37" s="610"/>
      <c r="H37" s="611"/>
      <c r="I37" s="221"/>
    </row>
    <row r="38" spans="1:13" ht="23.4" x14ac:dyDescent="0.45">
      <c r="A38" s="76"/>
      <c r="B38" s="617" t="s">
        <v>87</v>
      </c>
      <c r="C38" s="622">
        <v>24071.72</v>
      </c>
      <c r="D38" s="618">
        <v>81613.2</v>
      </c>
      <c r="E38" s="618">
        <v>3997.28</v>
      </c>
      <c r="F38" s="618">
        <v>495.88</v>
      </c>
      <c r="G38" s="620">
        <f>SUM(E38:F38)</f>
        <v>4493.16</v>
      </c>
      <c r="H38" s="621">
        <f>AVERAGE(E38:F38)</f>
        <v>2246.58</v>
      </c>
      <c r="I38" s="221"/>
    </row>
    <row r="39" spans="1:13" ht="24" thickBot="1" x14ac:dyDescent="0.5">
      <c r="A39" s="76"/>
      <c r="B39" s="365" t="s">
        <v>88</v>
      </c>
      <c r="C39" s="631">
        <v>47027.1</v>
      </c>
      <c r="D39" s="627">
        <v>218.88</v>
      </c>
      <c r="E39" s="627">
        <v>344.08</v>
      </c>
      <c r="F39" s="627">
        <v>1246.3</v>
      </c>
      <c r="G39" s="629">
        <f>SUM(E39:F39)</f>
        <v>1590.3799999999999</v>
      </c>
      <c r="H39" s="630">
        <f>AVERAGE(E39:F39)</f>
        <v>795.18999999999994</v>
      </c>
      <c r="I39" s="221"/>
    </row>
    <row r="40" spans="1:13" ht="24.6" thickTop="1" thickBot="1" x14ac:dyDescent="0.5">
      <c r="A40" s="76"/>
      <c r="B40" s="637" t="s">
        <v>89</v>
      </c>
      <c r="C40" s="642">
        <f>SUM(C38:C39)</f>
        <v>71098.820000000007</v>
      </c>
      <c r="D40" s="642">
        <f>SUM(D38:D39)</f>
        <v>81832.08</v>
      </c>
      <c r="E40" s="642">
        <f>SUM(E38:E39)</f>
        <v>4341.3600000000006</v>
      </c>
      <c r="F40" s="642">
        <f>SUM(F38:F39)</f>
        <v>1742.1799999999998</v>
      </c>
      <c r="G40" s="640">
        <f>SUM(E40:F40)</f>
        <v>6083.5400000000009</v>
      </c>
      <c r="H40" s="641">
        <f>AVERAGE(E40:G40)</f>
        <v>4055.6933333333341</v>
      </c>
      <c r="I40" s="251"/>
    </row>
    <row r="42" spans="1:13" x14ac:dyDescent="0.3">
      <c r="B42" s="252"/>
    </row>
    <row r="43" spans="1:13" x14ac:dyDescent="0.3">
      <c r="C43" s="253"/>
    </row>
    <row r="44" spans="1:13" x14ac:dyDescent="0.3">
      <c r="B44" s="255"/>
      <c r="D44" s="222">
        <f>AVERAGE(C36:F36)</f>
        <v>16.8475</v>
      </c>
      <c r="E44">
        <f>STDEVPA(C36:F36)</f>
        <v>8.2949483874223109</v>
      </c>
    </row>
    <row r="45" spans="1:13" x14ac:dyDescent="0.3">
      <c r="D45" s="222">
        <f>D44+E44</f>
        <v>25.142448387422313</v>
      </c>
      <c r="E45" s="222">
        <f>D44-E44</f>
        <v>8.5525516125776893</v>
      </c>
    </row>
    <row r="47" spans="1:13" ht="15.75" customHeight="1" x14ac:dyDescent="0.3">
      <c r="A47" s="257"/>
      <c r="B47" s="258"/>
      <c r="C47" s="258"/>
      <c r="D47" s="258"/>
      <c r="E47" s="258"/>
      <c r="F47" s="258"/>
      <c r="G47" s="258"/>
      <c r="H47" s="258"/>
    </row>
    <row r="48" spans="1:13" x14ac:dyDescent="0.3">
      <c r="A48" s="261"/>
      <c r="B48" s="258"/>
      <c r="C48" s="262"/>
      <c r="D48" s="262"/>
      <c r="E48" s="262"/>
      <c r="F48" s="262"/>
      <c r="G48" s="262"/>
      <c r="H48" s="262"/>
    </row>
    <row r="49" spans="1:8" x14ac:dyDescent="0.3">
      <c r="A49" s="261"/>
      <c r="B49" s="258"/>
      <c r="C49" s="262"/>
      <c r="D49" s="262"/>
      <c r="E49" s="262"/>
      <c r="F49" s="262"/>
      <c r="G49" s="262"/>
      <c r="H49" s="262"/>
    </row>
    <row r="50" spans="1:8" x14ac:dyDescent="0.3">
      <c r="A50" s="261"/>
      <c r="B50" s="258"/>
      <c r="C50" s="259"/>
      <c r="D50" s="259"/>
      <c r="E50" s="259"/>
      <c r="F50" s="259"/>
      <c r="G50" s="259"/>
      <c r="H50" s="259"/>
    </row>
    <row r="51" spans="1:8" x14ac:dyDescent="0.3">
      <c r="A51" s="261"/>
      <c r="B51" s="258"/>
      <c r="C51" s="259"/>
      <c r="D51" s="259"/>
      <c r="E51" s="259"/>
      <c r="F51" s="259"/>
      <c r="G51" s="259"/>
      <c r="H51" s="259"/>
    </row>
    <row r="52" spans="1:8" x14ac:dyDescent="0.3">
      <c r="A52" s="261"/>
      <c r="B52" s="258"/>
      <c r="C52" s="263"/>
      <c r="D52" s="263"/>
      <c r="E52" s="263"/>
      <c r="F52" s="263"/>
      <c r="G52" s="263"/>
      <c r="H52" s="263"/>
    </row>
    <row r="53" spans="1:8" x14ac:dyDescent="0.3">
      <c r="A53" s="261"/>
      <c r="B53" s="258"/>
      <c r="C53" s="258"/>
      <c r="D53" s="258"/>
      <c r="E53" s="258"/>
      <c r="F53" s="258"/>
      <c r="G53" s="258"/>
      <c r="H53" s="258"/>
    </row>
    <row r="54" spans="1:8" x14ac:dyDescent="0.3">
      <c r="A54" s="261"/>
      <c r="B54" s="258"/>
      <c r="C54" s="259"/>
      <c r="D54" s="259"/>
      <c r="E54" s="259"/>
      <c r="F54" s="259"/>
      <c r="G54" s="259"/>
      <c r="H54" s="259"/>
    </row>
    <row r="55" spans="1:8" x14ac:dyDescent="0.3">
      <c r="A55" s="261"/>
      <c r="B55" s="258"/>
      <c r="C55" s="258"/>
      <c r="D55" s="258"/>
      <c r="E55" s="258"/>
      <c r="F55" s="258"/>
      <c r="G55" s="258"/>
      <c r="H55" s="258"/>
    </row>
    <row r="56" spans="1:8" x14ac:dyDescent="0.3">
      <c r="A56" s="261"/>
      <c r="B56" s="258"/>
      <c r="C56" s="265"/>
      <c r="D56" s="265"/>
      <c r="E56" s="265"/>
      <c r="F56" s="265"/>
      <c r="G56" s="265"/>
      <c r="H56" s="265"/>
    </row>
    <row r="57" spans="1:8" x14ac:dyDescent="0.3">
      <c r="A57" s="261"/>
      <c r="B57" s="258"/>
      <c r="C57" s="267"/>
      <c r="D57" s="267"/>
      <c r="E57" s="267"/>
      <c r="F57" s="267"/>
      <c r="G57" s="267"/>
      <c r="H57" s="267"/>
    </row>
    <row r="58" spans="1:8" x14ac:dyDescent="0.3">
      <c r="A58" s="261"/>
      <c r="B58" s="258"/>
      <c r="C58" s="269"/>
      <c r="D58" s="269"/>
      <c r="E58" s="269"/>
      <c r="F58" s="269"/>
      <c r="G58" s="269"/>
      <c r="H58" s="269"/>
    </row>
    <row r="59" spans="1:8" x14ac:dyDescent="0.3">
      <c r="A59" s="261"/>
      <c r="B59" s="258"/>
      <c r="C59" s="258"/>
      <c r="D59" s="267"/>
      <c r="E59" s="267"/>
      <c r="F59" s="267"/>
      <c r="G59" s="267"/>
      <c r="H59" s="267"/>
    </row>
    <row r="60" spans="1:8" x14ac:dyDescent="0.3">
      <c r="A60" s="257"/>
      <c r="B60" s="257"/>
      <c r="C60" s="260"/>
      <c r="D60" s="260"/>
      <c r="E60" s="260"/>
      <c r="F60" s="260"/>
      <c r="G60" s="260"/>
      <c r="H60" s="260"/>
    </row>
    <row r="61" spans="1:8" x14ac:dyDescent="0.3">
      <c r="A61" s="257"/>
      <c r="B61" s="273"/>
      <c r="C61" s="260"/>
      <c r="D61" s="260"/>
      <c r="E61" s="260"/>
      <c r="F61" s="260"/>
      <c r="G61" s="260"/>
      <c r="H61" s="260"/>
    </row>
    <row r="62" spans="1:8" x14ac:dyDescent="0.3">
      <c r="A62" s="257"/>
      <c r="B62" s="258"/>
      <c r="C62" s="260"/>
      <c r="D62" s="272"/>
      <c r="E62" s="272"/>
      <c r="F62" s="272"/>
      <c r="G62" s="272"/>
      <c r="H62" s="272"/>
    </row>
    <row r="63" spans="1:8" x14ac:dyDescent="0.3">
      <c r="A63" s="257"/>
      <c r="B63" s="258"/>
      <c r="C63" s="272"/>
      <c r="D63" s="272"/>
      <c r="E63" s="272"/>
      <c r="F63" s="272"/>
      <c r="G63" s="272"/>
      <c r="H63" s="272"/>
    </row>
    <row r="64" spans="1:8" x14ac:dyDescent="0.3">
      <c r="A64" s="257"/>
      <c r="B64" s="258"/>
      <c r="C64" s="272"/>
      <c r="D64" s="272"/>
      <c r="E64" s="272"/>
      <c r="F64" s="272"/>
      <c r="G64" s="272"/>
      <c r="H64" s="272"/>
    </row>
    <row r="65" spans="1:8" x14ac:dyDescent="0.3">
      <c r="A65" s="257"/>
      <c r="B65" s="258"/>
      <c r="C65" s="272"/>
      <c r="D65" s="272"/>
      <c r="E65" s="272"/>
      <c r="F65" s="272"/>
      <c r="G65" s="272"/>
      <c r="H65" s="272"/>
    </row>
    <row r="66" spans="1:8" x14ac:dyDescent="0.3">
      <c r="A66" s="257"/>
      <c r="B66" s="258"/>
      <c r="C66" s="272"/>
      <c r="D66" s="272"/>
      <c r="E66" s="272"/>
      <c r="F66" s="272"/>
      <c r="G66" s="272"/>
      <c r="H66" s="272"/>
    </row>
    <row r="67" spans="1:8" x14ac:dyDescent="0.3">
      <c r="A67" s="257"/>
      <c r="B67" s="258"/>
      <c r="C67" s="272"/>
      <c r="D67" s="272"/>
      <c r="E67" s="272"/>
      <c r="F67" s="272"/>
      <c r="G67" s="272"/>
      <c r="H67" s="272"/>
    </row>
    <row r="68" spans="1:8" x14ac:dyDescent="0.3">
      <c r="A68" s="257"/>
      <c r="B68" s="258"/>
      <c r="C68" s="272"/>
      <c r="D68" s="272"/>
      <c r="E68" s="272"/>
      <c r="F68" s="272"/>
      <c r="G68" s="272"/>
      <c r="H68" s="272"/>
    </row>
    <row r="69" spans="1:8" x14ac:dyDescent="0.3">
      <c r="A69" s="257"/>
      <c r="B69" s="257"/>
      <c r="C69" s="257"/>
      <c r="D69" s="257"/>
      <c r="E69" s="257"/>
      <c r="F69" s="257"/>
      <c r="G69" s="257"/>
      <c r="H69" s="257"/>
    </row>
    <row r="70" spans="1:8" x14ac:dyDescent="0.3">
      <c r="A70" s="257"/>
      <c r="B70" s="257"/>
      <c r="C70" s="257"/>
      <c r="D70" s="257"/>
      <c r="E70" s="257"/>
      <c r="F70" s="257"/>
      <c r="G70" s="257"/>
      <c r="H70" s="257"/>
    </row>
    <row r="71" spans="1:8" x14ac:dyDescent="0.3">
      <c r="A71" s="257"/>
      <c r="B71" s="257"/>
      <c r="C71" s="257"/>
      <c r="D71" s="257"/>
      <c r="E71" s="257"/>
      <c r="F71" s="257"/>
      <c r="G71" s="257"/>
      <c r="H71" s="257"/>
    </row>
    <row r="72" spans="1:8" x14ac:dyDescent="0.3">
      <c r="A72" s="257"/>
      <c r="B72" s="257"/>
      <c r="C72" s="257"/>
      <c r="D72" s="257"/>
      <c r="E72" s="257"/>
      <c r="F72" s="257"/>
      <c r="G72" s="257"/>
      <c r="H72" s="257"/>
    </row>
    <row r="73" spans="1:8" x14ac:dyDescent="0.3">
      <c r="A73" s="257"/>
      <c r="B73" s="257"/>
      <c r="C73" s="257"/>
      <c r="D73" s="257"/>
      <c r="E73" s="257"/>
      <c r="F73" s="257"/>
      <c r="G73" s="257"/>
      <c r="H73" s="257"/>
    </row>
    <row r="74" spans="1:8" x14ac:dyDescent="0.3">
      <c r="A74" s="257"/>
      <c r="B74" s="257"/>
      <c r="C74" s="257"/>
      <c r="D74" s="257"/>
      <c r="E74" s="257"/>
      <c r="F74" s="257"/>
      <c r="G74" s="257"/>
      <c r="H74" s="257"/>
    </row>
  </sheetData>
  <printOptions headings="1" gridLines="1"/>
  <pageMargins left="0.25" right="0.25" top="0.75" bottom="0.75" header="0.3" footer="0.3"/>
  <pageSetup scale="45" orientation="landscape" r:id="rId1"/>
  <headerFooter>
    <oddFooter>&amp;L&amp;Z&amp;F&amp;C
&amp;P of &amp;N
&amp;R&amp;D</oddFooter>
  </headerFooter>
  <colBreaks count="1" manualBreakCount="1">
    <brk id="1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1C7C-0F8A-41A0-9760-EF73726FD78D}">
  <dimension ref="A1:W72"/>
  <sheetViews>
    <sheetView view="pageBreakPreview" topLeftCell="A13" zoomScale="50" zoomScaleNormal="50" zoomScaleSheetLayoutView="50" workbookViewId="0">
      <selection activeCell="B4" sqref="B4"/>
    </sheetView>
  </sheetViews>
  <sheetFormatPr defaultRowHeight="14.4" x14ac:dyDescent="0.3"/>
  <cols>
    <col min="1" max="1" width="7.6640625" customWidth="1"/>
    <col min="2" max="2" width="65.109375" bestFit="1" customWidth="1"/>
    <col min="3" max="3" width="26.5546875" bestFit="1" customWidth="1"/>
    <col min="4" max="4" width="24.109375" bestFit="1" customWidth="1"/>
    <col min="5" max="5" width="26.5546875" bestFit="1" customWidth="1"/>
    <col min="6" max="9" width="24.109375" bestFit="1" customWidth="1"/>
    <col min="10" max="11" width="26.5546875" bestFit="1" customWidth="1"/>
    <col min="12" max="12" width="24.109375" bestFit="1" customWidth="1"/>
    <col min="13" max="13" width="22" bestFit="1" customWidth="1"/>
    <col min="14" max="14" width="26.5546875" hidden="1" customWidth="1"/>
    <col min="15" max="15" width="23.6640625" bestFit="1" customWidth="1"/>
    <col min="16" max="16" width="5.88671875" customWidth="1"/>
    <col min="17" max="19" width="26.5546875" hidden="1" customWidth="1"/>
    <col min="20" max="20" width="25.44140625" hidden="1" customWidth="1"/>
    <col min="21" max="21" width="26.109375" customWidth="1"/>
    <col min="22" max="22" width="12.33203125" bestFit="1" customWidth="1"/>
  </cols>
  <sheetData>
    <row r="1" spans="1:23" ht="23.4" x14ac:dyDescent="0.45">
      <c r="A1" s="75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6"/>
    </row>
    <row r="2" spans="1:23" ht="24" thickBot="1" x14ac:dyDescent="0.5">
      <c r="A2" s="75" t="s">
        <v>50</v>
      </c>
      <c r="B2" s="2"/>
      <c r="C2" s="2"/>
      <c r="D2" s="2"/>
      <c r="E2" s="2"/>
      <c r="F2" s="77" t="s">
        <v>51</v>
      </c>
      <c r="G2" s="2"/>
      <c r="H2" s="2"/>
      <c r="I2" s="2"/>
      <c r="J2" s="2"/>
      <c r="K2" s="2"/>
      <c r="L2" s="2"/>
      <c r="M2" s="2"/>
      <c r="N2" s="2"/>
      <c r="O2" s="2"/>
      <c r="P2" s="78"/>
    </row>
    <row r="3" spans="1:23" ht="29.4" thickBot="1" x14ac:dyDescent="0.6">
      <c r="A3" s="76"/>
      <c r="B3" s="79" t="s">
        <v>52</v>
      </c>
      <c r="C3" s="80" t="s">
        <v>47</v>
      </c>
      <c r="D3" s="81" t="s">
        <v>53</v>
      </c>
      <c r="E3" s="81" t="s">
        <v>54</v>
      </c>
      <c r="F3" s="81" t="s">
        <v>39</v>
      </c>
      <c r="G3" s="81" t="s">
        <v>43</v>
      </c>
      <c r="H3" s="82" t="s">
        <v>40</v>
      </c>
      <c r="I3" s="81" t="s">
        <v>42</v>
      </c>
      <c r="J3" s="81" t="s">
        <v>44</v>
      </c>
      <c r="K3" s="81" t="s">
        <v>45</v>
      </c>
      <c r="L3" s="81" t="s">
        <v>41</v>
      </c>
      <c r="M3" s="83" t="s">
        <v>46</v>
      </c>
      <c r="N3" s="84" t="s">
        <v>55</v>
      </c>
      <c r="O3" s="85" t="s">
        <v>48</v>
      </c>
      <c r="P3" s="86"/>
      <c r="W3" s="87" t="s">
        <v>56</v>
      </c>
    </row>
    <row r="4" spans="1:23" ht="28.8" x14ac:dyDescent="0.55000000000000004">
      <c r="A4" s="76"/>
      <c r="B4" s="88" t="s">
        <v>57</v>
      </c>
      <c r="C4" s="89"/>
      <c r="D4" s="90"/>
      <c r="E4" s="90"/>
      <c r="F4" s="90"/>
      <c r="G4" s="90"/>
      <c r="H4" s="90"/>
      <c r="I4" s="90"/>
      <c r="J4" s="90"/>
      <c r="K4" s="90"/>
      <c r="L4" s="90"/>
      <c r="M4" s="91"/>
      <c r="N4" s="92"/>
      <c r="O4" s="92"/>
      <c r="P4" s="93"/>
    </row>
    <row r="5" spans="1:23" ht="29.4" thickBot="1" x14ac:dyDescent="0.6">
      <c r="A5" s="76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7"/>
      <c r="O5" s="97"/>
      <c r="P5" s="93"/>
    </row>
    <row r="6" spans="1:23" ht="86.4" x14ac:dyDescent="0.55000000000000004">
      <c r="A6" s="76" t="s">
        <v>58</v>
      </c>
      <c r="B6" s="98" t="s">
        <v>59</v>
      </c>
      <c r="C6" s="99">
        <v>117296</v>
      </c>
      <c r="D6" s="99">
        <v>93301</v>
      </c>
      <c r="E6" s="99">
        <v>302813</v>
      </c>
      <c r="F6" s="99">
        <v>883</v>
      </c>
      <c r="G6" s="99"/>
      <c r="H6" s="99">
        <v>12135</v>
      </c>
      <c r="I6" s="99">
        <v>0</v>
      </c>
      <c r="J6" s="99">
        <v>230589</v>
      </c>
      <c r="K6" s="99">
        <v>7410</v>
      </c>
      <c r="L6" s="99">
        <v>48000</v>
      </c>
      <c r="M6" s="100">
        <v>2347</v>
      </c>
      <c r="N6" s="100"/>
      <c r="O6" s="100"/>
      <c r="P6" s="93"/>
    </row>
    <row r="7" spans="1:23" ht="57.6" x14ac:dyDescent="0.55000000000000004">
      <c r="A7" s="76" t="s">
        <v>60</v>
      </c>
      <c r="B7" s="98" t="s">
        <v>61</v>
      </c>
      <c r="C7" s="101">
        <v>125682</v>
      </c>
      <c r="D7" s="101">
        <v>99308</v>
      </c>
      <c r="E7" s="101">
        <v>322979</v>
      </c>
      <c r="F7" s="101">
        <v>8330</v>
      </c>
      <c r="G7" s="101">
        <v>241</v>
      </c>
      <c r="H7" s="101">
        <v>22165</v>
      </c>
      <c r="I7" s="101">
        <v>5441</v>
      </c>
      <c r="J7" s="101">
        <v>234096</v>
      </c>
      <c r="K7" s="101">
        <v>7410</v>
      </c>
      <c r="L7" s="101">
        <v>48000</v>
      </c>
      <c r="M7" s="102">
        <v>2648</v>
      </c>
      <c r="N7" s="102"/>
      <c r="O7" s="102"/>
      <c r="P7" s="93"/>
    </row>
    <row r="8" spans="1:23" ht="28.8" x14ac:dyDescent="0.55000000000000004">
      <c r="A8" s="76"/>
      <c r="B8" s="103" t="s">
        <v>62</v>
      </c>
      <c r="C8" s="104">
        <f>C6/C7</f>
        <v>0.93327604589360447</v>
      </c>
      <c r="D8" s="104">
        <f t="shared" ref="D8:L8" si="0">D6/D7</f>
        <v>0.93951141901961577</v>
      </c>
      <c r="E8" s="104">
        <f t="shared" si="0"/>
        <v>0.93756250406373165</v>
      </c>
      <c r="F8" s="104">
        <f t="shared" si="0"/>
        <v>0.10600240096038416</v>
      </c>
      <c r="G8" s="104">
        <f t="shared" si="0"/>
        <v>0</v>
      </c>
      <c r="H8" s="104">
        <f t="shared" si="0"/>
        <v>0.54748477329122491</v>
      </c>
      <c r="I8" s="104">
        <f t="shared" si="0"/>
        <v>0</v>
      </c>
      <c r="J8" s="104">
        <f t="shared" si="0"/>
        <v>0.98501896657781418</v>
      </c>
      <c r="K8" s="104">
        <f>K6/K7</f>
        <v>1</v>
      </c>
      <c r="L8" s="104">
        <f t="shared" si="0"/>
        <v>1</v>
      </c>
      <c r="M8" s="105">
        <f>M6/M7</f>
        <v>0.88632930513595165</v>
      </c>
      <c r="N8" s="105"/>
      <c r="O8" s="105"/>
      <c r="P8" s="93"/>
    </row>
    <row r="9" spans="1:23" ht="57.6" x14ac:dyDescent="0.55000000000000004">
      <c r="A9" s="76" t="s">
        <v>63</v>
      </c>
      <c r="B9" s="106" t="s">
        <v>64</v>
      </c>
      <c r="C9" s="107">
        <v>17678</v>
      </c>
      <c r="D9" s="107">
        <v>11724</v>
      </c>
      <c r="E9" s="107">
        <v>62848</v>
      </c>
      <c r="F9" s="107">
        <v>3030</v>
      </c>
      <c r="G9" s="107">
        <v>31890</v>
      </c>
      <c r="H9" s="107">
        <v>4026</v>
      </c>
      <c r="I9" s="107">
        <v>2635</v>
      </c>
      <c r="J9" s="107">
        <v>43881</v>
      </c>
      <c r="K9" s="107">
        <v>1122</v>
      </c>
      <c r="L9" s="108">
        <v>3758</v>
      </c>
      <c r="M9" s="109">
        <v>1200</v>
      </c>
      <c r="N9" s="109"/>
      <c r="O9" s="109"/>
      <c r="P9" s="93"/>
    </row>
    <row r="10" spans="1:23" ht="28.8" x14ac:dyDescent="0.55000000000000004">
      <c r="A10" s="76"/>
      <c r="B10" s="110" t="s">
        <v>65</v>
      </c>
      <c r="C10" s="108">
        <f t="shared" ref="C10:M10" si="1">C8*C9</f>
        <v>16498.453939307139</v>
      </c>
      <c r="D10" s="108">
        <f t="shared" si="1"/>
        <v>11014.831876585975</v>
      </c>
      <c r="E10" s="108">
        <f t="shared" si="1"/>
        <v>58923.928255397404</v>
      </c>
      <c r="F10" s="108">
        <f t="shared" si="1"/>
        <v>321.187274909964</v>
      </c>
      <c r="G10" s="108">
        <f t="shared" si="1"/>
        <v>0</v>
      </c>
      <c r="H10" s="108">
        <f t="shared" si="1"/>
        <v>2204.1736972704716</v>
      </c>
      <c r="I10" s="108">
        <f t="shared" si="1"/>
        <v>0</v>
      </c>
      <c r="J10" s="108">
        <f t="shared" si="1"/>
        <v>43223.617272401061</v>
      </c>
      <c r="K10" s="108">
        <f t="shared" si="1"/>
        <v>1122</v>
      </c>
      <c r="L10" s="108">
        <f t="shared" si="1"/>
        <v>3758</v>
      </c>
      <c r="M10" s="111">
        <f t="shared" si="1"/>
        <v>1063.595166163142</v>
      </c>
      <c r="N10" s="111"/>
      <c r="O10" s="111"/>
      <c r="P10" s="93"/>
    </row>
    <row r="11" spans="1:23" ht="86.4" x14ac:dyDescent="0.55000000000000004">
      <c r="A11" s="76"/>
      <c r="B11" s="106" t="s">
        <v>66</v>
      </c>
      <c r="C11" s="108">
        <f>C6+C10</f>
        <v>133794.45393930713</v>
      </c>
      <c r="D11" s="108">
        <f t="shared" ref="D11:L11" si="2">D6+D10</f>
        <v>104315.83187658597</v>
      </c>
      <c r="E11" s="108">
        <f t="shared" si="2"/>
        <v>361736.92825539742</v>
      </c>
      <c r="F11" s="108">
        <f t="shared" si="2"/>
        <v>1204.1872749099639</v>
      </c>
      <c r="G11" s="108">
        <f t="shared" si="2"/>
        <v>0</v>
      </c>
      <c r="H11" s="108">
        <f t="shared" si="2"/>
        <v>14339.173697270471</v>
      </c>
      <c r="I11" s="108">
        <f t="shared" si="2"/>
        <v>0</v>
      </c>
      <c r="J11" s="108">
        <f t="shared" si="2"/>
        <v>273812.61727240105</v>
      </c>
      <c r="K11" s="108">
        <f>K6+K10</f>
        <v>8532</v>
      </c>
      <c r="L11" s="108">
        <f t="shared" si="2"/>
        <v>51758</v>
      </c>
      <c r="M11" s="111">
        <f>M6+M10</f>
        <v>3410.595166163142</v>
      </c>
      <c r="N11" s="111"/>
      <c r="O11" s="111"/>
      <c r="P11" s="93"/>
      <c r="U11" s="932" t="s">
        <v>67</v>
      </c>
    </row>
    <row r="12" spans="1:23" ht="28.5" customHeight="1" x14ac:dyDescent="0.55000000000000004">
      <c r="A12" s="76" t="s">
        <v>68</v>
      </c>
      <c r="B12" s="106" t="s">
        <v>69</v>
      </c>
      <c r="C12" s="107">
        <v>153029</v>
      </c>
      <c r="D12" s="107">
        <v>146320</v>
      </c>
      <c r="E12" s="107">
        <v>578810</v>
      </c>
      <c r="F12" s="107">
        <v>92025</v>
      </c>
      <c r="G12" s="107">
        <v>47631</v>
      </c>
      <c r="H12" s="107">
        <v>91125</v>
      </c>
      <c r="I12" s="107">
        <v>170466</v>
      </c>
      <c r="J12" s="107">
        <v>326041</v>
      </c>
      <c r="K12" s="107">
        <v>499306</v>
      </c>
      <c r="L12" s="107">
        <v>60729</v>
      </c>
      <c r="M12" s="109">
        <v>12121</v>
      </c>
      <c r="N12" s="109"/>
      <c r="O12" s="109"/>
      <c r="P12" s="93"/>
      <c r="U12" s="932"/>
    </row>
    <row r="13" spans="1:23" ht="28.5" customHeight="1" x14ac:dyDescent="0.55000000000000004">
      <c r="A13" s="76"/>
      <c r="B13" s="88"/>
      <c r="C13" s="112"/>
      <c r="D13" s="108"/>
      <c r="E13" s="108"/>
      <c r="F13" s="113"/>
      <c r="G13" s="113"/>
      <c r="H13" s="113"/>
      <c r="I13" s="113"/>
      <c r="J13" s="113"/>
      <c r="K13" s="108"/>
      <c r="L13" s="113"/>
      <c r="M13" s="114"/>
      <c r="N13" s="114"/>
      <c r="O13" s="114"/>
      <c r="P13" s="93"/>
      <c r="U13" s="932"/>
    </row>
    <row r="14" spans="1:23" ht="28.8" x14ac:dyDescent="0.55000000000000004">
      <c r="A14" s="115"/>
      <c r="B14" s="88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18"/>
      <c r="O14" s="118"/>
      <c r="P14" s="93"/>
      <c r="Q14" s="119" t="s">
        <v>70</v>
      </c>
      <c r="R14" s="119" t="s">
        <v>71</v>
      </c>
      <c r="S14" s="119" t="s">
        <v>72</v>
      </c>
      <c r="T14" s="119" t="s">
        <v>73</v>
      </c>
      <c r="U14" s="932"/>
    </row>
    <row r="15" spans="1:23" ht="86.4" x14ac:dyDescent="0.55000000000000004">
      <c r="A15" s="120"/>
      <c r="B15" s="121" t="s">
        <v>74</v>
      </c>
      <c r="C15" s="122">
        <f>C11/C12</f>
        <v>0.87430783668002232</v>
      </c>
      <c r="D15" s="123">
        <f t="shared" ref="D15:M15" si="3">D11/D12</f>
        <v>0.71292941413741096</v>
      </c>
      <c r="E15" s="123">
        <f t="shared" si="3"/>
        <v>0.62496661815690369</v>
      </c>
      <c r="F15" s="123">
        <f t="shared" si="3"/>
        <v>1.3085436293506806E-2</v>
      </c>
      <c r="G15" s="123">
        <f t="shared" si="3"/>
        <v>0</v>
      </c>
      <c r="H15" s="123">
        <f t="shared" si="3"/>
        <v>0.15735718735001888</v>
      </c>
      <c r="I15" s="123">
        <f t="shared" si="3"/>
        <v>0</v>
      </c>
      <c r="J15" s="123">
        <f t="shared" si="3"/>
        <v>0.83981038357875559</v>
      </c>
      <c r="K15" s="123">
        <f t="shared" si="3"/>
        <v>1.7087717752240109E-2</v>
      </c>
      <c r="L15" s="123">
        <f t="shared" si="3"/>
        <v>0.85227815376508753</v>
      </c>
      <c r="M15" s="124">
        <f t="shared" si="3"/>
        <v>0.28137902534140269</v>
      </c>
      <c r="N15" s="124"/>
      <c r="O15" s="125">
        <f>AVERAGE(C15:M15)</f>
        <v>0.39756379755048632</v>
      </c>
      <c r="P15" s="93"/>
      <c r="Q15" s="126">
        <f>AVERAGE(C15:M15)</f>
        <v>0.39756379755048632</v>
      </c>
      <c r="R15" s="127">
        <f>STDEVPA(C15:M15)</f>
        <v>0.36440453333775369</v>
      </c>
      <c r="S15" s="126">
        <f>Q15+R15</f>
        <v>0.76196833088824001</v>
      </c>
      <c r="T15" s="126">
        <f>Q15-R15</f>
        <v>3.3159264212732631E-2</v>
      </c>
      <c r="U15" s="126">
        <f>AVERAGE(D15,E15,H15,M15)</f>
        <v>0.44415806124643398</v>
      </c>
    </row>
    <row r="16" spans="1:23" ht="25.5" customHeight="1" thickBot="1" x14ac:dyDescent="0.6">
      <c r="A16" s="115"/>
      <c r="B16" s="128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32"/>
      <c r="O16" s="133"/>
      <c r="P16" s="93"/>
      <c r="Q16" s="119"/>
      <c r="R16" s="119"/>
      <c r="S16" s="119"/>
      <c r="T16" s="119"/>
      <c r="U16" s="119"/>
    </row>
    <row r="17" spans="1:21" ht="28.5" customHeight="1" thickBot="1" x14ac:dyDescent="0.6">
      <c r="A17" s="134"/>
      <c r="B17" s="135" t="s">
        <v>75</v>
      </c>
      <c r="C17" s="136">
        <v>0</v>
      </c>
      <c r="D17" s="137">
        <v>0</v>
      </c>
      <c r="E17" s="137">
        <v>0</v>
      </c>
      <c r="F17" s="137">
        <v>71748</v>
      </c>
      <c r="G17" s="137">
        <v>38535</v>
      </c>
      <c r="H17" s="137">
        <v>56156.05</v>
      </c>
      <c r="I17" s="137">
        <v>151252</v>
      </c>
      <c r="J17" s="137"/>
      <c r="K17" s="137">
        <v>437992</v>
      </c>
      <c r="L17" s="137"/>
      <c r="M17" s="138">
        <v>5988</v>
      </c>
      <c r="N17" s="139">
        <f>SUM(C17:M17)</f>
        <v>761671.05</v>
      </c>
      <c r="O17" s="139">
        <f>AVERAGE(C17:M17)</f>
        <v>84630.116666666669</v>
      </c>
      <c r="P17" s="93"/>
      <c r="Q17" s="140">
        <f>AVERAGE(C17:M17)</f>
        <v>84630.116666666669</v>
      </c>
      <c r="R17" s="140">
        <f>STDEVPA(C17:M17)</f>
        <v>133364.96690139014</v>
      </c>
      <c r="S17" s="140">
        <f>Q17+R17</f>
        <v>217995.08356805681</v>
      </c>
      <c r="T17" s="140">
        <f>Q17-R17</f>
        <v>-48734.850234723475</v>
      </c>
      <c r="U17" s="141">
        <f>AVERAGE(F17,G17,H17,I17,M17)</f>
        <v>64735.81</v>
      </c>
    </row>
    <row r="18" spans="1:21" ht="15.75" customHeight="1" thickBot="1" x14ac:dyDescent="0.6">
      <c r="A18" s="134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5"/>
      <c r="N18" s="146"/>
      <c r="O18" s="147"/>
      <c r="P18" s="93"/>
      <c r="Q18" s="140"/>
      <c r="R18" s="140"/>
      <c r="S18" s="140"/>
      <c r="T18" s="140"/>
      <c r="U18" s="119"/>
    </row>
    <row r="19" spans="1:21" ht="33" customHeight="1" thickBot="1" x14ac:dyDescent="0.6">
      <c r="A19" s="134"/>
      <c r="B19" s="148" t="s">
        <v>76</v>
      </c>
      <c r="C19" s="149">
        <f>C17+C11</f>
        <v>133794.45393930713</v>
      </c>
      <c r="D19" s="150">
        <f t="shared" ref="D19:M19" si="4">D17+D11</f>
        <v>104315.83187658597</v>
      </c>
      <c r="E19" s="150">
        <f t="shared" si="4"/>
        <v>361736.92825539742</v>
      </c>
      <c r="F19" s="150">
        <f t="shared" si="4"/>
        <v>72952.187274909957</v>
      </c>
      <c r="G19" s="150">
        <f t="shared" si="4"/>
        <v>38535</v>
      </c>
      <c r="H19" s="150">
        <f t="shared" si="4"/>
        <v>70495.22369727047</v>
      </c>
      <c r="I19" s="150">
        <f t="shared" si="4"/>
        <v>151252</v>
      </c>
      <c r="J19" s="150">
        <f t="shared" si="4"/>
        <v>273812.61727240105</v>
      </c>
      <c r="K19" s="150">
        <f t="shared" si="4"/>
        <v>446524</v>
      </c>
      <c r="L19" s="150">
        <f t="shared" si="4"/>
        <v>51758</v>
      </c>
      <c r="M19" s="150">
        <f t="shared" si="4"/>
        <v>9398.5951661631425</v>
      </c>
      <c r="N19" s="151">
        <f>SUM(C19:M19)</f>
        <v>1714574.8374820352</v>
      </c>
      <c r="O19" s="152">
        <f>AVERAGE(C19:M19)</f>
        <v>155870.4397710941</v>
      </c>
      <c r="P19" s="93"/>
      <c r="Q19" s="140">
        <f>AVERAGE(C19:M19)</f>
        <v>155870.4397710941</v>
      </c>
      <c r="R19" s="140">
        <f>STDEVPA(C19:M19)</f>
        <v>136236.02114775151</v>
      </c>
      <c r="S19" s="140">
        <f>Q19+R19</f>
        <v>292106.46091884561</v>
      </c>
      <c r="T19" s="140">
        <f>Q19-R19</f>
        <v>19634.418623342586</v>
      </c>
      <c r="U19" s="141">
        <f>AVERAGE(C19,D19,F19,G19,H19,I19,J19,L19)</f>
        <v>112114.41425755931</v>
      </c>
    </row>
    <row r="20" spans="1:21" ht="15.75" customHeight="1" thickBot="1" x14ac:dyDescent="0.6">
      <c r="A20" s="134"/>
      <c r="B20" s="142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43"/>
      <c r="O20" s="144"/>
      <c r="P20" s="156"/>
      <c r="Q20" s="119"/>
      <c r="R20" s="119"/>
      <c r="S20" s="119"/>
      <c r="T20" s="119"/>
      <c r="U20" s="119"/>
    </row>
    <row r="21" spans="1:21" ht="87" thickBot="1" x14ac:dyDescent="0.6">
      <c r="A21" s="134"/>
      <c r="B21" s="157" t="s">
        <v>77</v>
      </c>
      <c r="C21" s="158">
        <f>C19/C12</f>
        <v>0.87430783668002232</v>
      </c>
      <c r="D21" s="159">
        <f t="shared" ref="D21:M21" si="5">D19/D12</f>
        <v>0.71292941413741096</v>
      </c>
      <c r="E21" s="159">
        <f t="shared" si="5"/>
        <v>0.62496661815690369</v>
      </c>
      <c r="F21" s="159">
        <f t="shared" si="5"/>
        <v>0.79274313800499818</v>
      </c>
      <c r="G21" s="159">
        <f t="shared" si="5"/>
        <v>0.80903193298482079</v>
      </c>
      <c r="H21" s="159">
        <f t="shared" si="5"/>
        <v>0.77361013659556077</v>
      </c>
      <c r="I21" s="159">
        <f t="shared" si="5"/>
        <v>0.88728544108502572</v>
      </c>
      <c r="J21" s="159">
        <f t="shared" si="5"/>
        <v>0.83981038357875559</v>
      </c>
      <c r="K21" s="159">
        <f t="shared" si="5"/>
        <v>0.89428927351163412</v>
      </c>
      <c r="L21" s="159">
        <f t="shared" si="5"/>
        <v>0.85227815376508753</v>
      </c>
      <c r="M21" s="160">
        <f t="shared" si="5"/>
        <v>0.77539767066769594</v>
      </c>
      <c r="N21" s="158"/>
      <c r="O21" s="158">
        <f>AVERAGE(C21:M21)</f>
        <v>0.80333181810617404</v>
      </c>
      <c r="P21" s="156"/>
      <c r="Q21" s="126">
        <f>AVERAGE(C21:M21)</f>
        <v>0.80333181810617404</v>
      </c>
      <c r="R21" s="127">
        <f>STDEVPA(C21:M21)</f>
        <v>7.7389534075234981E-2</v>
      </c>
      <c r="S21" s="126">
        <f>Q21+R21</f>
        <v>0.88072135218140901</v>
      </c>
      <c r="T21" s="126">
        <f>Q21-R21</f>
        <v>0.72594228403093908</v>
      </c>
      <c r="U21" s="126">
        <f>AVERAGE(C21,F21,G21,H21,J21,L21,M21)</f>
        <v>0.81673989318242035</v>
      </c>
    </row>
    <row r="22" spans="1:21" ht="12.75" customHeight="1" thickBot="1" x14ac:dyDescent="0.6">
      <c r="A22" s="115"/>
      <c r="B22" s="161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4"/>
      <c r="N22" s="162"/>
      <c r="O22" s="163"/>
      <c r="P22" s="165"/>
      <c r="Q22" s="119"/>
      <c r="R22" s="119"/>
      <c r="S22" s="119"/>
      <c r="T22" s="119"/>
      <c r="U22" s="119"/>
    </row>
    <row r="23" spans="1:21" ht="34.5" customHeight="1" thickBot="1" x14ac:dyDescent="0.6">
      <c r="A23" s="115"/>
      <c r="B23" s="166" t="s">
        <v>78</v>
      </c>
      <c r="C23" s="167">
        <f>C12-C11</f>
        <v>19234.546060692868</v>
      </c>
      <c r="D23" s="168">
        <f>D12-D19</f>
        <v>42004.168123414027</v>
      </c>
      <c r="E23" s="168">
        <f t="shared" ref="E23:M23" si="6">E12-E19</f>
        <v>217073.07174460258</v>
      </c>
      <c r="F23" s="168">
        <f t="shared" si="6"/>
        <v>19072.812725090043</v>
      </c>
      <c r="G23" s="168">
        <f t="shared" si="6"/>
        <v>9096</v>
      </c>
      <c r="H23" s="168">
        <f t="shared" si="6"/>
        <v>20629.77630272953</v>
      </c>
      <c r="I23" s="168">
        <f t="shared" si="6"/>
        <v>19214</v>
      </c>
      <c r="J23" s="168">
        <f t="shared" si="6"/>
        <v>52228.382727598946</v>
      </c>
      <c r="K23" s="168">
        <f t="shared" si="6"/>
        <v>52782</v>
      </c>
      <c r="L23" s="168">
        <f t="shared" si="6"/>
        <v>8971</v>
      </c>
      <c r="M23" s="168">
        <f t="shared" si="6"/>
        <v>2722.4048338368575</v>
      </c>
      <c r="N23" s="169">
        <f>SUM(C23:M23)</f>
        <v>463028.16251796478</v>
      </c>
      <c r="O23" s="169">
        <f>AVERAGE(C23:M23)</f>
        <v>42093.469319814983</v>
      </c>
      <c r="P23" s="170"/>
      <c r="Q23" s="140">
        <f>AVERAGE(C23:M23)</f>
        <v>42093.469319814983</v>
      </c>
      <c r="R23" s="140">
        <f>STDEVPA(C23:M23)</f>
        <v>57688.413290983815</v>
      </c>
      <c r="S23" s="140">
        <f>Q23+R23</f>
        <v>99781.882610798799</v>
      </c>
      <c r="T23" s="140">
        <f>Q23-R23</f>
        <v>-15594.943971168832</v>
      </c>
      <c r="U23" s="171">
        <f>AVERAGE(Psychiatric!C23,Psychiatric!D23,Psychiatric!F23,Psychiatric!G23,Psychiatric!H23,Psychiatric!I23,Psychiatric!J23,Psychiatric!K23,Psychiatric!L23,Psychiatric!M23)</f>
        <v>24595.509077336228</v>
      </c>
    </row>
    <row r="24" spans="1:21" ht="14.25" customHeight="1" thickBot="1" x14ac:dyDescent="0.6">
      <c r="A24" s="115"/>
      <c r="B24" s="161"/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4"/>
      <c r="N24" s="175"/>
      <c r="O24" s="176"/>
      <c r="P24" s="170"/>
      <c r="Q24" s="140"/>
      <c r="R24" s="140"/>
      <c r="S24" s="140"/>
      <c r="T24" s="140"/>
      <c r="U24" s="119"/>
    </row>
    <row r="25" spans="1:21" ht="33.75" customHeight="1" thickBot="1" x14ac:dyDescent="0.6">
      <c r="A25" s="115"/>
      <c r="B25" s="177" t="s">
        <v>79</v>
      </c>
      <c r="C25" s="178">
        <f>C10</f>
        <v>16498.453939307139</v>
      </c>
      <c r="D25" s="179">
        <f t="shared" ref="D25:M25" si="7">D10</f>
        <v>11014.831876585975</v>
      </c>
      <c r="E25" s="179">
        <f t="shared" si="7"/>
        <v>58923.928255397404</v>
      </c>
      <c r="F25" s="179">
        <f t="shared" si="7"/>
        <v>321.187274909964</v>
      </c>
      <c r="G25" s="179">
        <f t="shared" si="7"/>
        <v>0</v>
      </c>
      <c r="H25" s="179">
        <f t="shared" si="7"/>
        <v>2204.1736972704716</v>
      </c>
      <c r="I25" s="179">
        <f t="shared" si="7"/>
        <v>0</v>
      </c>
      <c r="J25" s="179">
        <f t="shared" si="7"/>
        <v>43223.617272401061</v>
      </c>
      <c r="K25" s="179">
        <f t="shared" si="7"/>
        <v>1122</v>
      </c>
      <c r="L25" s="179">
        <f t="shared" si="7"/>
        <v>3758</v>
      </c>
      <c r="M25" s="180">
        <f t="shared" si="7"/>
        <v>1063.595166163142</v>
      </c>
      <c r="N25" s="181">
        <f>SUM(C25:M25)</f>
        <v>138129.78748203514</v>
      </c>
      <c r="O25" s="181">
        <f>AVERAGE(C25:M25)</f>
        <v>12557.25340745774</v>
      </c>
      <c r="P25" s="170"/>
      <c r="Q25" s="140">
        <f>AVERAGE(C25:M25)</f>
        <v>12557.25340745774</v>
      </c>
      <c r="R25" s="140">
        <f>STDEVPA(C25:M25)</f>
        <v>19118.718566595959</v>
      </c>
      <c r="S25" s="140">
        <f>Q25+R25</f>
        <v>31675.971974053697</v>
      </c>
      <c r="T25" s="140">
        <f>Q25-R25</f>
        <v>-6561.465159138219</v>
      </c>
      <c r="U25" s="182">
        <f>AVERAGE(C25,D25,F25,H25,K25,L25,M25)</f>
        <v>5140.3202791766689</v>
      </c>
    </row>
    <row r="26" spans="1:21" ht="14.25" customHeight="1" x14ac:dyDescent="0.55000000000000004">
      <c r="A26" s="115"/>
      <c r="B26" s="183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6"/>
      <c r="N26" s="187"/>
      <c r="O26" s="188"/>
      <c r="P26" s="170"/>
      <c r="Q26" s="140"/>
      <c r="R26" s="140"/>
      <c r="S26" s="140"/>
      <c r="T26" s="140"/>
    </row>
    <row r="27" spans="1:21" ht="57.75" customHeight="1" x14ac:dyDescent="0.55000000000000004">
      <c r="A27" s="115"/>
      <c r="B27" s="183" t="s">
        <v>80</v>
      </c>
      <c r="C27" s="189">
        <f>C25/C12</f>
        <v>0.1078125972156071</v>
      </c>
      <c r="D27" s="189">
        <f t="shared" ref="D27:M27" si="8">D25/D12</f>
        <v>7.5279058751954453E-2</v>
      </c>
      <c r="E27" s="189">
        <f t="shared" si="8"/>
        <v>0.10180184906169107</v>
      </c>
      <c r="F27" s="189">
        <f t="shared" si="8"/>
        <v>3.490217602933594E-3</v>
      </c>
      <c r="G27" s="189">
        <f t="shared" si="8"/>
        <v>0</v>
      </c>
      <c r="H27" s="189">
        <f t="shared" si="8"/>
        <v>2.4188463070183502E-2</v>
      </c>
      <c r="I27" s="189">
        <f t="shared" si="8"/>
        <v>0</v>
      </c>
      <c r="J27" s="189">
        <f t="shared" si="8"/>
        <v>0.13257110999046456</v>
      </c>
      <c r="K27" s="189">
        <f t="shared" si="8"/>
        <v>2.247119001173629E-3</v>
      </c>
      <c r="L27" s="189">
        <f t="shared" si="8"/>
        <v>6.1881473431144925E-2</v>
      </c>
      <c r="M27" s="189">
        <f t="shared" si="8"/>
        <v>8.7748136800853235E-2</v>
      </c>
      <c r="N27" s="187"/>
      <c r="O27" s="190">
        <f>AVERAGE(C27:M27)</f>
        <v>5.4274547720546011E-2</v>
      </c>
      <c r="P27" s="170"/>
      <c r="Q27" s="140"/>
      <c r="R27" s="140"/>
      <c r="S27" s="140"/>
      <c r="T27" s="140"/>
      <c r="U27" s="191">
        <f>AVERAGE(C27,D27,F27,H27,K27,L27,M27)</f>
        <v>5.1806723696264344E-2</v>
      </c>
    </row>
    <row r="28" spans="1:21" ht="15.75" customHeight="1" thickBot="1" x14ac:dyDescent="0.6">
      <c r="A28" s="115"/>
      <c r="B28" s="161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4"/>
      <c r="N28" s="175"/>
      <c r="O28" s="176"/>
      <c r="P28" s="170"/>
      <c r="Q28" s="119"/>
      <c r="R28" s="119"/>
      <c r="S28" s="119"/>
      <c r="T28" s="119"/>
      <c r="U28" s="119"/>
    </row>
    <row r="29" spans="1:21" ht="31.5" customHeight="1" thickBot="1" x14ac:dyDescent="0.6">
      <c r="A29" s="115"/>
      <c r="B29" s="166" t="s">
        <v>81</v>
      </c>
      <c r="C29" s="192">
        <f>C10/C11</f>
        <v>0.12331194196428572</v>
      </c>
      <c r="D29" s="193">
        <f t="shared" ref="D29:M29" si="9">D10/D11</f>
        <v>0.10559118092081562</v>
      </c>
      <c r="E29" s="193">
        <f t="shared" si="9"/>
        <v>0.16289165869677341</v>
      </c>
      <c r="F29" s="193">
        <f t="shared" si="9"/>
        <v>0.26672535211267612</v>
      </c>
      <c r="G29" s="193"/>
      <c r="H29" s="193">
        <f t="shared" si="9"/>
        <v>0.15371692566148679</v>
      </c>
      <c r="I29" s="193"/>
      <c r="J29" s="193">
        <f t="shared" si="9"/>
        <v>0.15785838396701884</v>
      </c>
      <c r="K29" s="193">
        <f t="shared" si="9"/>
        <v>0.13150492264416316</v>
      </c>
      <c r="L29" s="193">
        <f t="shared" si="9"/>
        <v>7.2607133196800497E-2</v>
      </c>
      <c r="M29" s="194">
        <f t="shared" si="9"/>
        <v>0.31185031185031187</v>
      </c>
      <c r="N29" s="195"/>
      <c r="O29" s="196">
        <f>AVERAGE(D29:F29,H29,J29:M29)</f>
        <v>0.17034323363125581</v>
      </c>
      <c r="P29" s="170"/>
      <c r="Q29" s="126">
        <f>AVERAGE(C29:M29)</f>
        <v>0.16511753455714798</v>
      </c>
      <c r="R29" s="127">
        <f>STDEVPA(C29:M29)</f>
        <v>7.2281361192936835E-2</v>
      </c>
      <c r="S29" s="126">
        <f>Q29+R29</f>
        <v>0.23739889575008483</v>
      </c>
      <c r="T29" s="126">
        <f>Q29-R29</f>
        <v>9.2836173364211141E-2</v>
      </c>
      <c r="U29" s="126">
        <f>AVERAGE(C29,D29,E29,H29,J29,K29)</f>
        <v>0.13914583564242392</v>
      </c>
    </row>
    <row r="30" spans="1:21" ht="28.8" x14ac:dyDescent="0.55000000000000004">
      <c r="A30" s="115"/>
      <c r="B30" s="197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200"/>
      <c r="N30" s="201"/>
      <c r="O30" s="202"/>
      <c r="P30" s="170"/>
    </row>
    <row r="31" spans="1:21" ht="28.8" x14ac:dyDescent="0.55000000000000004">
      <c r="A31" s="115"/>
      <c r="B31" s="88"/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5"/>
      <c r="N31" s="206"/>
      <c r="O31" s="207"/>
      <c r="P31" s="170"/>
    </row>
    <row r="32" spans="1:21" ht="28.8" x14ac:dyDescent="0.55000000000000004">
      <c r="A32" s="208"/>
      <c r="B32" s="209" t="s">
        <v>82</v>
      </c>
      <c r="C32" s="210"/>
      <c r="D32" s="211"/>
      <c r="E32" s="211"/>
      <c r="F32" s="211"/>
      <c r="G32" s="211"/>
      <c r="H32" s="211"/>
      <c r="I32" s="211"/>
      <c r="J32" s="211"/>
      <c r="K32" s="211"/>
      <c r="L32" s="211"/>
      <c r="M32" s="212"/>
      <c r="N32" s="213"/>
      <c r="O32" s="214"/>
      <c r="P32" s="170"/>
    </row>
    <row r="33" spans="1:21" ht="28.8" x14ac:dyDescent="0.55000000000000004">
      <c r="A33" s="208"/>
      <c r="B33" s="215" t="s">
        <v>83</v>
      </c>
      <c r="C33" s="216">
        <v>98.07</v>
      </c>
      <c r="D33" s="217">
        <v>309.67</v>
      </c>
      <c r="E33" s="217">
        <v>686.08</v>
      </c>
      <c r="F33" s="217">
        <v>96.84</v>
      </c>
      <c r="G33" s="217">
        <v>168.06</v>
      </c>
      <c r="H33" s="217">
        <v>566.41</v>
      </c>
      <c r="I33" s="217">
        <v>63.81</v>
      </c>
      <c r="J33" s="217">
        <v>162.38</v>
      </c>
      <c r="K33" s="217"/>
      <c r="L33" s="217">
        <v>145.91</v>
      </c>
      <c r="M33" s="218">
        <v>57.75</v>
      </c>
      <c r="N33" s="219"/>
      <c r="O33" s="220">
        <f>AVERAGE(C33:M33)</f>
        <v>235.49799999999999</v>
      </c>
      <c r="P33" s="221"/>
      <c r="Q33" s="222"/>
      <c r="U33" s="223">
        <f>AVERAGE(C33:D33,F33:M33)</f>
        <v>185.43333333333337</v>
      </c>
    </row>
    <row r="34" spans="1:21" ht="29.4" thickBot="1" x14ac:dyDescent="0.6">
      <c r="A34" s="208"/>
      <c r="B34" s="88" t="s">
        <v>84</v>
      </c>
      <c r="C34" s="224">
        <v>86.21</v>
      </c>
      <c r="D34" s="225">
        <v>227.56</v>
      </c>
      <c r="E34" s="225">
        <v>712.16</v>
      </c>
      <c r="F34" s="225"/>
      <c r="G34" s="225">
        <v>173.84</v>
      </c>
      <c r="H34" s="225">
        <v>110.99</v>
      </c>
      <c r="I34" s="225">
        <v>52.99</v>
      </c>
      <c r="J34" s="225">
        <v>180.23</v>
      </c>
      <c r="K34" s="225">
        <v>82.86</v>
      </c>
      <c r="L34" s="225">
        <v>165.76</v>
      </c>
      <c r="M34" s="226">
        <v>74.36</v>
      </c>
      <c r="N34" s="227"/>
      <c r="O34" s="223">
        <f>AVERAGE(C34:M34)</f>
        <v>186.69599999999997</v>
      </c>
      <c r="P34" s="221"/>
      <c r="Q34" s="222"/>
      <c r="U34" s="223">
        <f>AVERAGE(C34:D34,F34:M34)</f>
        <v>128.3111111111111</v>
      </c>
    </row>
    <row r="35" spans="1:21" ht="29.4" thickBot="1" x14ac:dyDescent="0.6">
      <c r="A35" s="76"/>
      <c r="B35" s="98" t="s">
        <v>85</v>
      </c>
      <c r="C35" s="228"/>
      <c r="D35" s="229"/>
      <c r="E35" s="229"/>
      <c r="F35" s="229"/>
      <c r="G35" s="229"/>
      <c r="H35" s="229"/>
      <c r="I35" s="229"/>
      <c r="J35" s="229"/>
      <c r="K35" s="229"/>
      <c r="L35" s="229"/>
      <c r="M35" s="230"/>
      <c r="N35" s="231"/>
      <c r="O35" s="232"/>
      <c r="P35" s="221"/>
      <c r="U35" s="233" t="s">
        <v>86</v>
      </c>
    </row>
    <row r="36" spans="1:21" ht="57.6" x14ac:dyDescent="0.55000000000000004">
      <c r="A36" s="76"/>
      <c r="B36" s="234" t="s">
        <v>87</v>
      </c>
      <c r="C36" s="235">
        <v>22496.19</v>
      </c>
      <c r="D36" s="236">
        <v>10555</v>
      </c>
      <c r="E36" s="236">
        <v>36651</v>
      </c>
      <c r="F36" s="236">
        <v>15936</v>
      </c>
      <c r="G36" s="236">
        <v>6071</v>
      </c>
      <c r="H36" s="236">
        <v>14307</v>
      </c>
      <c r="I36" s="236">
        <v>13067</v>
      </c>
      <c r="J36" s="236">
        <v>8502</v>
      </c>
      <c r="K36" s="236">
        <v>138369</v>
      </c>
      <c r="L36" s="236">
        <v>11362</v>
      </c>
      <c r="M36" s="237">
        <v>569</v>
      </c>
      <c r="N36" s="238">
        <f>SUM(C36:M36)</f>
        <v>277885.19</v>
      </c>
      <c r="O36" s="239">
        <f>AVERAGE(C36:M36)</f>
        <v>25262.29</v>
      </c>
      <c r="P36" s="221"/>
      <c r="U36" s="238">
        <f>SUM(C36:M36)</f>
        <v>277885.19</v>
      </c>
    </row>
    <row r="37" spans="1:21" ht="58.2" thickBot="1" x14ac:dyDescent="0.6">
      <c r="A37" s="76"/>
      <c r="B37" s="98" t="s">
        <v>88</v>
      </c>
      <c r="C37" s="240">
        <v>23571.32</v>
      </c>
      <c r="D37" s="241">
        <v>15990</v>
      </c>
      <c r="E37" s="241">
        <v>40910</v>
      </c>
      <c r="F37" s="241">
        <v>29848</v>
      </c>
      <c r="G37" s="241">
        <v>8264</v>
      </c>
      <c r="H37" s="241">
        <v>6788</v>
      </c>
      <c r="I37" s="241">
        <v>48241</v>
      </c>
      <c r="J37" s="241">
        <v>19118</v>
      </c>
      <c r="K37" s="241">
        <v>192991</v>
      </c>
      <c r="L37" s="241">
        <v>7645</v>
      </c>
      <c r="M37" s="242">
        <v>8201</v>
      </c>
      <c r="N37" s="243">
        <f>SUM(C37:M37)</f>
        <v>401567.32</v>
      </c>
      <c r="O37" s="244">
        <f>AVERAGE(C37:M37)</f>
        <v>36506.120000000003</v>
      </c>
      <c r="P37" s="221"/>
      <c r="U37" s="238">
        <f>SUM(C37:M37)</f>
        <v>401567.32</v>
      </c>
    </row>
    <row r="38" spans="1:21" ht="30" thickTop="1" thickBot="1" x14ac:dyDescent="0.6">
      <c r="A38" s="76"/>
      <c r="B38" s="245" t="s">
        <v>89</v>
      </c>
      <c r="C38" s="246">
        <f>SUM(C36:C37)</f>
        <v>46067.509999999995</v>
      </c>
      <c r="D38" s="247">
        <f t="shared" ref="D38:M38" si="10">SUM(D36:D37)</f>
        <v>26545</v>
      </c>
      <c r="E38" s="247">
        <f t="shared" si="10"/>
        <v>77561</v>
      </c>
      <c r="F38" s="247">
        <f t="shared" si="10"/>
        <v>45784</v>
      </c>
      <c r="G38" s="247">
        <f t="shared" si="10"/>
        <v>14335</v>
      </c>
      <c r="H38" s="247">
        <f t="shared" si="10"/>
        <v>21095</v>
      </c>
      <c r="I38" s="247">
        <f t="shared" si="10"/>
        <v>61308</v>
      </c>
      <c r="J38" s="247">
        <f t="shared" si="10"/>
        <v>27620</v>
      </c>
      <c r="K38" s="247">
        <f t="shared" si="10"/>
        <v>331360</v>
      </c>
      <c r="L38" s="247">
        <f t="shared" si="10"/>
        <v>19007</v>
      </c>
      <c r="M38" s="248">
        <f t="shared" si="10"/>
        <v>8770</v>
      </c>
      <c r="N38" s="249">
        <f>SUM(C38:M38)</f>
        <v>679452.51</v>
      </c>
      <c r="O38" s="250">
        <f>AVERAGE(C38:M38)</f>
        <v>61768.41</v>
      </c>
      <c r="P38" s="251"/>
      <c r="U38" s="249">
        <f>SUM(C38:M38)</f>
        <v>679452.51</v>
      </c>
    </row>
    <row r="40" spans="1:21" x14ac:dyDescent="0.3">
      <c r="B40" s="252"/>
    </row>
    <row r="41" spans="1:21" x14ac:dyDescent="0.3">
      <c r="C41" s="253"/>
      <c r="M41" s="254"/>
    </row>
    <row r="42" spans="1:21" x14ac:dyDescent="0.3">
      <c r="B42" s="255"/>
      <c r="M42" s="254"/>
    </row>
    <row r="43" spans="1:21" x14ac:dyDescent="0.3">
      <c r="M43" s="256"/>
    </row>
    <row r="44" spans="1:21" x14ac:dyDescent="0.3">
      <c r="M44" s="256"/>
    </row>
    <row r="45" spans="1:21" ht="15.75" customHeight="1" x14ac:dyDescent="0.3">
      <c r="A45" s="257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9"/>
      <c r="N45" s="260"/>
      <c r="O45" s="257"/>
    </row>
    <row r="46" spans="1:21" x14ac:dyDescent="0.3">
      <c r="A46" s="261"/>
      <c r="B46" s="258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3"/>
      <c r="N46" s="264"/>
      <c r="O46" s="257"/>
    </row>
    <row r="47" spans="1:21" x14ac:dyDescent="0.3">
      <c r="A47" s="261"/>
      <c r="B47" s="258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58"/>
      <c r="N47" s="262"/>
      <c r="O47" s="257"/>
    </row>
    <row r="48" spans="1:21" x14ac:dyDescent="0.3">
      <c r="A48" s="261"/>
      <c r="B48" s="258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7"/>
    </row>
    <row r="49" spans="1:15" x14ac:dyDescent="0.3">
      <c r="A49" s="261"/>
      <c r="B49" s="258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8"/>
      <c r="N49" s="259"/>
      <c r="O49" s="257"/>
    </row>
    <row r="50" spans="1:15" x14ac:dyDescent="0.3">
      <c r="A50" s="261"/>
      <c r="B50" s="258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5"/>
      <c r="N50" s="266"/>
      <c r="O50" s="257"/>
    </row>
    <row r="51" spans="1:15" x14ac:dyDescent="0.3">
      <c r="A51" s="261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67"/>
      <c r="N51" s="268"/>
      <c r="O51" s="257"/>
    </row>
    <row r="52" spans="1:15" x14ac:dyDescent="0.3">
      <c r="A52" s="261"/>
      <c r="B52" s="258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69"/>
      <c r="N52" s="259"/>
      <c r="O52" s="257"/>
    </row>
    <row r="53" spans="1:15" x14ac:dyDescent="0.3">
      <c r="A53" s="261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67"/>
      <c r="N53" s="270"/>
      <c r="O53" s="257"/>
    </row>
    <row r="54" spans="1:15" x14ac:dyDescent="0.3">
      <c r="A54" s="261"/>
      <c r="B54" s="258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0"/>
      <c r="N54" s="265"/>
      <c r="O54" s="257"/>
    </row>
    <row r="55" spans="1:15" x14ac:dyDescent="0.3">
      <c r="A55" s="261"/>
      <c r="B55" s="258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0"/>
      <c r="N55" s="267"/>
      <c r="O55" s="257"/>
    </row>
    <row r="56" spans="1:15" x14ac:dyDescent="0.3">
      <c r="A56" s="261"/>
      <c r="B56" s="258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71"/>
      <c r="N56" s="265"/>
      <c r="O56" s="257"/>
    </row>
    <row r="57" spans="1:15" x14ac:dyDescent="0.3">
      <c r="A57" s="261"/>
      <c r="B57" s="258"/>
      <c r="C57" s="258"/>
      <c r="D57" s="267"/>
      <c r="E57" s="267"/>
      <c r="F57" s="267"/>
      <c r="G57" s="267"/>
      <c r="H57" s="267"/>
      <c r="I57" s="267"/>
      <c r="J57" s="267"/>
      <c r="K57" s="267"/>
      <c r="L57" s="267"/>
      <c r="M57" s="272"/>
      <c r="N57" s="267"/>
      <c r="O57" s="257"/>
    </row>
    <row r="58" spans="1:15" x14ac:dyDescent="0.3">
      <c r="A58" s="257"/>
      <c r="B58" s="257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72"/>
      <c r="N58" s="257"/>
      <c r="O58" s="257"/>
    </row>
    <row r="59" spans="1:15" x14ac:dyDescent="0.3">
      <c r="A59" s="257"/>
      <c r="B59" s="273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72"/>
      <c r="N59" s="274"/>
      <c r="O59" s="257"/>
    </row>
    <row r="60" spans="1:15" x14ac:dyDescent="0.3">
      <c r="A60" s="257"/>
      <c r="B60" s="258"/>
      <c r="C60" s="260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4"/>
      <c r="O60" s="257"/>
    </row>
    <row r="61" spans="1:15" x14ac:dyDescent="0.3">
      <c r="A61" s="257"/>
      <c r="B61" s="258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5"/>
      <c r="O61" s="257"/>
    </row>
    <row r="62" spans="1:15" x14ac:dyDescent="0.3">
      <c r="A62" s="257"/>
      <c r="B62" s="258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62"/>
      <c r="O62" s="257"/>
    </row>
    <row r="63" spans="1:15" x14ac:dyDescent="0.3">
      <c r="A63" s="257"/>
      <c r="B63" s="258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57"/>
      <c r="N63" s="272"/>
      <c r="O63" s="257"/>
    </row>
    <row r="64" spans="1:15" x14ac:dyDescent="0.3">
      <c r="A64" s="257"/>
      <c r="B64" s="258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57"/>
      <c r="N64" s="272"/>
      <c r="O64" s="257"/>
    </row>
    <row r="65" spans="1:15" x14ac:dyDescent="0.3">
      <c r="A65" s="257"/>
      <c r="B65" s="258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57"/>
      <c r="N65" s="272"/>
      <c r="O65" s="257"/>
    </row>
    <row r="66" spans="1:15" x14ac:dyDescent="0.3">
      <c r="A66" s="257"/>
      <c r="B66" s="258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57"/>
      <c r="N66" s="272"/>
      <c r="O66" s="257"/>
    </row>
    <row r="67" spans="1:15" x14ac:dyDescent="0.3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</row>
    <row r="68" spans="1:15" x14ac:dyDescent="0.3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</row>
    <row r="69" spans="1:15" x14ac:dyDescent="0.3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N69" s="257"/>
      <c r="O69" s="257"/>
    </row>
    <row r="70" spans="1:15" x14ac:dyDescent="0.3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N70" s="257"/>
      <c r="O70" s="257"/>
    </row>
    <row r="71" spans="1:15" x14ac:dyDescent="0.3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N71" s="257"/>
      <c r="O71" s="257"/>
    </row>
    <row r="72" spans="1:15" x14ac:dyDescent="0.3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N72" s="257"/>
      <c r="O72" s="257"/>
    </row>
  </sheetData>
  <mergeCells count="1">
    <mergeCell ref="U11:U14"/>
  </mergeCells>
  <printOptions headings="1" gridLines="1"/>
  <pageMargins left="0.25" right="0.25" top="0.75" bottom="0.75" header="0.3" footer="0.3"/>
  <pageSetup scale="30" orientation="landscape" r:id="rId1"/>
  <headerFooter>
    <oddFooter>&amp;L&amp;Z&amp;F&amp;C
&amp;P of &amp;N
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2459-ED5B-4BBF-9A15-906BFD84DFB6}">
  <dimension ref="A1:AE90"/>
  <sheetViews>
    <sheetView view="pageBreakPreview" topLeftCell="O22" zoomScale="60" zoomScaleNormal="100" workbookViewId="0">
      <selection activeCell="Q11" sqref="Q11"/>
    </sheetView>
  </sheetViews>
  <sheetFormatPr defaultRowHeight="14.4" x14ac:dyDescent="0.3"/>
  <cols>
    <col min="1" max="1" width="20.6640625" hidden="1" customWidth="1"/>
    <col min="2" max="2" width="36.88671875" hidden="1" customWidth="1"/>
    <col min="3" max="4" width="23.44140625" hidden="1" customWidth="1"/>
    <col min="5" max="5" width="38.44140625" hidden="1" customWidth="1"/>
    <col min="6" max="6" width="27.6640625" hidden="1" customWidth="1"/>
    <col min="7" max="7" width="3.88671875" hidden="1" customWidth="1"/>
    <col min="8" max="8" width="33.5546875" hidden="1" customWidth="1"/>
    <col min="9" max="9" width="23.44140625" hidden="1" customWidth="1"/>
    <col min="10" max="10" width="28.6640625" hidden="1" customWidth="1"/>
    <col min="11" max="11" width="2.5546875" hidden="1" customWidth="1"/>
    <col min="12" max="12" width="30.33203125" hidden="1" customWidth="1"/>
    <col min="13" max="14" width="27" hidden="1" customWidth="1"/>
    <col min="15" max="15" width="34.88671875" customWidth="1"/>
    <col min="16" max="17" width="27" customWidth="1"/>
    <col min="18" max="18" width="6" customWidth="1"/>
    <col min="19" max="19" width="33.88671875" customWidth="1"/>
    <col min="20" max="21" width="26.44140625" customWidth="1"/>
    <col min="22" max="22" width="7.109375" hidden="1" customWidth="1"/>
    <col min="23" max="23" width="53.88671875" hidden="1" customWidth="1"/>
    <col min="24" max="24" width="20.6640625" hidden="1" customWidth="1"/>
    <col min="25" max="25" width="41.44140625" hidden="1" customWidth="1"/>
    <col min="26" max="26" width="20.6640625" bestFit="1" customWidth="1"/>
    <col min="27" max="27" width="13.33203125" bestFit="1" customWidth="1"/>
    <col min="28" max="28" width="36.44140625" customWidth="1"/>
    <col min="29" max="29" width="14.33203125" bestFit="1" customWidth="1"/>
    <col min="30" max="30" width="6.109375" bestFit="1" customWidth="1"/>
    <col min="31" max="33" width="12.5546875" bestFit="1" customWidth="1"/>
    <col min="34" max="34" width="11.5546875" bestFit="1" customWidth="1"/>
    <col min="35" max="35" width="14.33203125" bestFit="1" customWidth="1"/>
  </cols>
  <sheetData>
    <row r="1" spans="1:29" ht="23.4" x14ac:dyDescent="0.45">
      <c r="A1" s="2"/>
      <c r="B1" s="2" t="s">
        <v>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90</v>
      </c>
      <c r="P1" s="2"/>
      <c r="Q1" s="2"/>
      <c r="R1" s="2"/>
      <c r="S1" s="2"/>
      <c r="T1" s="2"/>
      <c r="U1" s="2"/>
    </row>
    <row r="2" spans="1:29" ht="23.4" x14ac:dyDescent="0.45">
      <c r="A2" s="2"/>
      <c r="B2" s="2" t="s">
        <v>91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91</v>
      </c>
      <c r="P2" s="2"/>
      <c r="Q2" s="2"/>
      <c r="R2" s="2"/>
      <c r="S2" s="2"/>
      <c r="T2" s="2"/>
      <c r="U2" s="2"/>
    </row>
    <row r="3" spans="1:29" ht="23.4" x14ac:dyDescent="0.45">
      <c r="A3" s="2"/>
      <c r="B3" s="2" t="s">
        <v>92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92</v>
      </c>
      <c r="P3" s="2"/>
      <c r="Q3" s="2"/>
      <c r="R3" s="2"/>
      <c r="S3" s="2"/>
      <c r="T3" s="2"/>
      <c r="U3" s="2"/>
    </row>
    <row r="4" spans="1:29" ht="23.4" x14ac:dyDescent="0.45">
      <c r="A4" s="2"/>
      <c r="B4" s="2"/>
      <c r="C4" s="2"/>
      <c r="D4" s="2"/>
      <c r="E4" s="2"/>
      <c r="F4" s="2"/>
      <c r="G4" s="2"/>
      <c r="H4" s="943" t="s">
        <v>93</v>
      </c>
      <c r="I4" s="943"/>
      <c r="J4" s="2"/>
      <c r="K4" s="2"/>
      <c r="L4" s="2"/>
      <c r="M4" s="2"/>
      <c r="N4" s="2"/>
      <c r="O4" s="2"/>
      <c r="P4" s="2"/>
      <c r="Q4" s="2"/>
      <c r="R4" s="2"/>
      <c r="S4" s="943" t="s">
        <v>94</v>
      </c>
      <c r="T4" s="943"/>
      <c r="U4" s="2"/>
    </row>
    <row r="5" spans="1:29" ht="24" thickBot="1" x14ac:dyDescent="0.5">
      <c r="A5" s="2"/>
      <c r="B5" s="2" t="s">
        <v>95</v>
      </c>
      <c r="C5" s="2"/>
      <c r="D5" s="2"/>
      <c r="E5" s="2"/>
      <c r="F5" s="2"/>
      <c r="G5" s="2"/>
      <c r="H5" s="944"/>
      <c r="I5" s="944"/>
      <c r="J5" s="2"/>
      <c r="K5" s="2"/>
      <c r="L5" s="2" t="s">
        <v>96</v>
      </c>
      <c r="N5" s="2"/>
      <c r="O5" s="2" t="s">
        <v>97</v>
      </c>
      <c r="P5" s="2"/>
      <c r="Q5" s="2"/>
      <c r="R5" s="2"/>
      <c r="S5" s="944"/>
      <c r="T5" s="944"/>
      <c r="U5" s="2"/>
      <c r="V5" s="276"/>
      <c r="W5" s="2" t="s">
        <v>98</v>
      </c>
    </row>
    <row r="6" spans="1:29" ht="23.4" x14ac:dyDescent="0.45">
      <c r="A6" s="2"/>
      <c r="B6" s="933" t="s">
        <v>99</v>
      </c>
      <c r="C6" s="277"/>
      <c r="D6" s="2"/>
      <c r="E6" s="2"/>
      <c r="F6" s="2"/>
      <c r="G6" s="2"/>
      <c r="H6" s="933" t="s">
        <v>99</v>
      </c>
      <c r="I6" s="277"/>
      <c r="J6" s="2"/>
      <c r="K6" s="2"/>
      <c r="L6" s="933" t="s">
        <v>99</v>
      </c>
      <c r="M6" s="277"/>
      <c r="N6" s="2"/>
      <c r="O6" s="933" t="s">
        <v>99</v>
      </c>
      <c r="P6" s="277"/>
      <c r="Q6" s="2"/>
      <c r="R6" s="2"/>
      <c r="S6" s="933" t="s">
        <v>99</v>
      </c>
      <c r="T6" s="277"/>
      <c r="U6" s="2"/>
      <c r="V6" s="2"/>
      <c r="W6" s="933" t="s">
        <v>99</v>
      </c>
      <c r="X6" s="277"/>
      <c r="Y6" s="2"/>
      <c r="Z6" s="2"/>
      <c r="AA6" s="276"/>
      <c r="AB6" s="276"/>
    </row>
    <row r="7" spans="1:29" ht="23.4" x14ac:dyDescent="0.45">
      <c r="A7" s="2"/>
      <c r="B7" s="934"/>
      <c r="C7" s="278"/>
      <c r="D7" s="2"/>
      <c r="E7" s="2"/>
      <c r="F7" s="2"/>
      <c r="G7" s="2"/>
      <c r="H7" s="934"/>
      <c r="I7" s="278"/>
      <c r="J7" s="2"/>
      <c r="K7" s="2"/>
      <c r="L7" s="934"/>
      <c r="M7" s="278"/>
      <c r="N7" s="2"/>
      <c r="O7" s="934"/>
      <c r="P7" s="278"/>
      <c r="Q7" s="2"/>
      <c r="R7" s="2"/>
      <c r="S7" s="934"/>
      <c r="T7" s="278"/>
      <c r="U7" s="2"/>
      <c r="V7" s="2"/>
      <c r="W7" s="934"/>
      <c r="X7" s="278"/>
      <c r="Y7" s="2"/>
      <c r="Z7" s="2"/>
      <c r="AA7" s="276"/>
      <c r="AB7" s="276"/>
    </row>
    <row r="8" spans="1:29" ht="24" thickBot="1" x14ac:dyDescent="0.5">
      <c r="A8" s="2"/>
      <c r="B8" s="935"/>
      <c r="C8" s="279">
        <v>679477</v>
      </c>
      <c r="D8" s="2"/>
      <c r="E8" s="2"/>
      <c r="F8" s="2"/>
      <c r="G8" s="2"/>
      <c r="H8" s="935"/>
      <c r="I8" s="280">
        <v>848806</v>
      </c>
      <c r="J8" s="2"/>
      <c r="K8" s="2"/>
      <c r="L8" s="935"/>
      <c r="M8" s="279">
        <v>680170.67</v>
      </c>
      <c r="N8" s="2"/>
      <c r="O8" s="935"/>
      <c r="P8" s="281">
        <v>586139</v>
      </c>
      <c r="Q8" s="2"/>
      <c r="R8" s="2"/>
      <c r="S8" s="935"/>
      <c r="T8" s="281">
        <v>600667</v>
      </c>
      <c r="U8" s="2"/>
      <c r="V8" s="2"/>
      <c r="W8" s="935"/>
      <c r="X8" s="279">
        <v>165081.5</v>
      </c>
      <c r="Y8" s="2"/>
      <c r="Z8" s="2"/>
      <c r="AA8" s="276"/>
      <c r="AB8" s="276"/>
    </row>
    <row r="9" spans="1:29" ht="24" thickBot="1" x14ac:dyDescent="0.5">
      <c r="A9" s="2"/>
      <c r="B9" s="282"/>
      <c r="C9" s="283"/>
      <c r="D9" s="2"/>
      <c r="E9" s="2"/>
      <c r="F9" s="2"/>
      <c r="G9" s="2"/>
      <c r="H9" s="282"/>
      <c r="I9" s="283"/>
      <c r="J9" s="2"/>
      <c r="K9" s="2"/>
      <c r="L9" s="282"/>
      <c r="M9" s="283"/>
      <c r="N9" s="2"/>
      <c r="O9" s="282"/>
      <c r="P9" s="283"/>
      <c r="Q9" s="2"/>
      <c r="R9" s="2"/>
      <c r="S9" s="282"/>
      <c r="T9" s="283"/>
      <c r="U9" s="2"/>
      <c r="V9" s="2"/>
      <c r="W9" s="282"/>
      <c r="X9" s="283"/>
      <c r="Y9" s="2"/>
      <c r="Z9" s="2"/>
      <c r="AA9" s="2"/>
      <c r="AB9" s="276"/>
      <c r="AC9" s="276"/>
    </row>
    <row r="10" spans="1:29" ht="46.8" x14ac:dyDescent="0.45">
      <c r="A10" s="2"/>
      <c r="B10" s="284" t="s">
        <v>100</v>
      </c>
      <c r="C10" s="285">
        <f>C8</f>
        <v>679477</v>
      </c>
      <c r="D10" s="2"/>
      <c r="E10" s="2"/>
      <c r="F10" s="2"/>
      <c r="G10" s="2"/>
      <c r="H10" s="284" t="s">
        <v>100</v>
      </c>
      <c r="I10" s="285">
        <f>I8</f>
        <v>848806</v>
      </c>
      <c r="J10" s="2"/>
      <c r="K10" s="2"/>
      <c r="L10" s="284" t="s">
        <v>100</v>
      </c>
      <c r="M10" s="285">
        <f>M8</f>
        <v>680170.67</v>
      </c>
      <c r="N10" s="2"/>
      <c r="O10" s="284" t="s">
        <v>100</v>
      </c>
      <c r="P10" s="285">
        <f>P8</f>
        <v>586139</v>
      </c>
      <c r="Q10" s="2"/>
      <c r="R10" s="2"/>
      <c r="S10" s="284" t="s">
        <v>100</v>
      </c>
      <c r="T10" s="285">
        <f>T8</f>
        <v>600667</v>
      </c>
      <c r="U10" s="2"/>
      <c r="V10" s="2"/>
      <c r="W10" s="284" t="s">
        <v>100</v>
      </c>
      <c r="X10" s="285">
        <f>X8</f>
        <v>165081.5</v>
      </c>
      <c r="Y10" s="2"/>
      <c r="Z10" s="2"/>
      <c r="AA10" s="2"/>
      <c r="AB10" s="276"/>
      <c r="AC10" s="276"/>
    </row>
    <row r="11" spans="1:29" ht="46.8" x14ac:dyDescent="0.45">
      <c r="A11" s="2"/>
      <c r="B11" s="286" t="s">
        <v>101</v>
      </c>
      <c r="C11" s="287">
        <v>0.1298</v>
      </c>
      <c r="D11" s="2"/>
      <c r="E11" s="2"/>
      <c r="F11" s="2"/>
      <c r="G11" s="2"/>
      <c r="H11" s="288" t="s">
        <v>102</v>
      </c>
      <c r="I11" s="289">
        <v>0.12429999999999999</v>
      </c>
      <c r="J11" s="2"/>
      <c r="K11" s="2"/>
      <c r="L11" s="286" t="s">
        <v>103</v>
      </c>
      <c r="M11" s="287">
        <v>8.5999999999999993E-2</v>
      </c>
      <c r="N11" s="2"/>
      <c r="O11" s="286" t="s">
        <v>104</v>
      </c>
      <c r="P11" s="290">
        <v>0.12820000000000001</v>
      </c>
      <c r="Q11" s="2"/>
      <c r="R11" s="2"/>
      <c r="S11" s="286" t="s">
        <v>105</v>
      </c>
      <c r="T11" s="290">
        <v>0.12280000000000001</v>
      </c>
      <c r="U11" s="2"/>
      <c r="V11" s="2"/>
      <c r="W11" s="286" t="s">
        <v>106</v>
      </c>
      <c r="X11" s="287">
        <v>0.18696675749472585</v>
      </c>
      <c r="Y11" s="2"/>
      <c r="Z11" s="2"/>
      <c r="AA11" s="2"/>
      <c r="AB11" s="276"/>
      <c r="AC11" s="276"/>
    </row>
    <row r="12" spans="1:29" ht="47.4" thickBot="1" x14ac:dyDescent="0.5">
      <c r="A12" s="2"/>
      <c r="B12" s="291" t="s">
        <v>107</v>
      </c>
      <c r="C12" s="292">
        <f>C10*C11</f>
        <v>88196.114600000001</v>
      </c>
      <c r="D12" s="2"/>
      <c r="E12" s="2"/>
      <c r="F12" s="2"/>
      <c r="G12" s="2"/>
      <c r="H12" s="291" t="s">
        <v>107</v>
      </c>
      <c r="I12" s="292">
        <f>I10*I11</f>
        <v>105506.5858</v>
      </c>
      <c r="J12" s="2"/>
      <c r="K12" s="2"/>
      <c r="L12" s="291" t="s">
        <v>107</v>
      </c>
      <c r="M12" s="292">
        <f>M10*M11</f>
        <v>58494.677620000002</v>
      </c>
      <c r="N12" s="2"/>
      <c r="O12" s="291" t="s">
        <v>107</v>
      </c>
      <c r="P12" s="292">
        <f>P10*P11</f>
        <v>75143.019800000009</v>
      </c>
      <c r="Q12" s="2"/>
      <c r="R12" s="2"/>
      <c r="S12" s="291" t="s">
        <v>107</v>
      </c>
      <c r="T12" s="292">
        <f>T10*T11</f>
        <v>73761.907600000006</v>
      </c>
      <c r="U12" s="2"/>
      <c r="V12" s="2"/>
      <c r="W12" s="291" t="s">
        <v>107</v>
      </c>
      <c r="X12" s="292">
        <f>X10*X11</f>
        <v>30864.752777365586</v>
      </c>
      <c r="Y12" s="2"/>
      <c r="Z12" s="2"/>
      <c r="AA12" s="2"/>
      <c r="AB12" s="276"/>
      <c r="AC12" s="276"/>
    </row>
    <row r="13" spans="1:29" ht="24" thickBot="1" x14ac:dyDescent="0.5">
      <c r="A13" s="2"/>
      <c r="B13" s="282"/>
      <c r="C13" s="283"/>
      <c r="D13" s="2"/>
      <c r="E13" s="2"/>
      <c r="F13" s="2"/>
      <c r="G13" s="2"/>
      <c r="H13" s="282"/>
      <c r="I13" s="283"/>
      <c r="J13" s="2"/>
      <c r="K13" s="2"/>
      <c r="L13" s="282"/>
      <c r="M13" s="283"/>
      <c r="N13" s="2"/>
      <c r="O13" s="282"/>
      <c r="P13" s="283"/>
      <c r="Q13" s="2"/>
      <c r="R13" s="2"/>
      <c r="S13" s="282"/>
      <c r="T13" s="283"/>
      <c r="U13" s="2"/>
      <c r="V13" s="2"/>
      <c r="W13" s="282"/>
      <c r="X13" s="283"/>
      <c r="Y13" s="2"/>
      <c r="Z13" s="2"/>
      <c r="AA13" s="2"/>
      <c r="AB13" s="276"/>
      <c r="AC13" s="276"/>
    </row>
    <row r="14" spans="1:29" ht="46.8" x14ac:dyDescent="0.45">
      <c r="A14" s="2"/>
      <c r="B14" s="284" t="s">
        <v>108</v>
      </c>
      <c r="C14" s="293">
        <f>C10</f>
        <v>679477</v>
      </c>
      <c r="D14" s="2"/>
      <c r="E14" s="2"/>
      <c r="F14" s="2"/>
      <c r="G14" s="2"/>
      <c r="H14" s="284" t="s">
        <v>108</v>
      </c>
      <c r="I14" s="293">
        <f>I10</f>
        <v>848806</v>
      </c>
      <c r="J14" s="2"/>
      <c r="K14" s="2"/>
      <c r="L14" s="284" t="s">
        <v>108</v>
      </c>
      <c r="M14" s="293">
        <f>M10</f>
        <v>680170.67</v>
      </c>
      <c r="N14" s="2"/>
      <c r="O14" s="284" t="s">
        <v>108</v>
      </c>
      <c r="P14" s="293">
        <f>P10</f>
        <v>586139</v>
      </c>
      <c r="Q14" s="2"/>
      <c r="R14" s="2"/>
      <c r="S14" s="284" t="s">
        <v>108</v>
      </c>
      <c r="T14" s="293">
        <f>T10</f>
        <v>600667</v>
      </c>
      <c r="U14" s="2"/>
      <c r="V14" s="2"/>
      <c r="W14" s="284" t="s">
        <v>108</v>
      </c>
      <c r="X14" s="293">
        <f>X10</f>
        <v>165081.5</v>
      </c>
      <c r="Y14" s="2"/>
      <c r="Z14" s="2"/>
      <c r="AA14" s="2"/>
      <c r="AB14" s="276"/>
      <c r="AC14" s="276"/>
    </row>
    <row r="15" spans="1:29" ht="46.8" x14ac:dyDescent="0.45">
      <c r="A15" s="2"/>
      <c r="B15" s="286" t="s">
        <v>109</v>
      </c>
      <c r="C15" s="294">
        <f>C12</f>
        <v>88196.114600000001</v>
      </c>
      <c r="D15" s="2"/>
      <c r="E15" s="2"/>
      <c r="F15" s="2"/>
      <c r="G15" s="2"/>
      <c r="H15" s="286" t="s">
        <v>109</v>
      </c>
      <c r="I15" s="294">
        <f>I12</f>
        <v>105506.5858</v>
      </c>
      <c r="J15" s="2"/>
      <c r="K15" s="2"/>
      <c r="L15" s="286" t="s">
        <v>109</v>
      </c>
      <c r="M15" s="294">
        <f>M12</f>
        <v>58494.677620000002</v>
      </c>
      <c r="N15" s="2"/>
      <c r="O15" s="286" t="s">
        <v>109</v>
      </c>
      <c r="P15" s="294">
        <f>P12</f>
        <v>75143.019800000009</v>
      </c>
      <c r="Q15" s="2"/>
      <c r="R15" s="2"/>
      <c r="S15" s="286" t="s">
        <v>109</v>
      </c>
      <c r="T15" s="294">
        <f>T12</f>
        <v>73761.907600000006</v>
      </c>
      <c r="U15" s="2"/>
      <c r="V15" s="2"/>
      <c r="W15" s="286" t="s">
        <v>109</v>
      </c>
      <c r="X15" s="294">
        <f>X12</f>
        <v>30864.752777365586</v>
      </c>
      <c r="Y15" s="2"/>
      <c r="Z15" s="2"/>
      <c r="AA15" s="2"/>
      <c r="AB15" s="276"/>
      <c r="AC15" s="276"/>
    </row>
    <row r="16" spans="1:29" ht="47.4" thickBot="1" x14ac:dyDescent="0.5">
      <c r="A16" s="2"/>
      <c r="B16" s="291" t="s">
        <v>110</v>
      </c>
      <c r="C16" s="292">
        <f>C14+C15</f>
        <v>767673.11459999997</v>
      </c>
      <c r="D16" s="2"/>
      <c r="E16" s="2"/>
      <c r="F16" s="2"/>
      <c r="G16" s="2"/>
      <c r="H16" s="291" t="s">
        <v>110</v>
      </c>
      <c r="I16" s="292">
        <f>I14+I15</f>
        <v>954312.5858</v>
      </c>
      <c r="J16" s="2"/>
      <c r="K16" s="2"/>
      <c r="L16" s="291" t="s">
        <v>110</v>
      </c>
      <c r="M16" s="292">
        <f>M14+M15</f>
        <v>738665.34762000002</v>
      </c>
      <c r="N16" s="2"/>
      <c r="O16" s="291" t="s">
        <v>110</v>
      </c>
      <c r="P16" s="292">
        <f>P14+P15</f>
        <v>661282.01980000001</v>
      </c>
      <c r="Q16" s="2"/>
      <c r="R16" s="2"/>
      <c r="S16" s="291" t="s">
        <v>110</v>
      </c>
      <c r="T16" s="292">
        <f>T14+T15</f>
        <v>674428.90760000004</v>
      </c>
      <c r="U16" s="2"/>
      <c r="V16" s="2"/>
      <c r="W16" s="291" t="s">
        <v>110</v>
      </c>
      <c r="X16" s="292">
        <f>X14+X15</f>
        <v>195946.25277736559</v>
      </c>
      <c r="Y16" s="2"/>
      <c r="Z16" s="2"/>
      <c r="AA16" s="2"/>
      <c r="AB16" s="276"/>
      <c r="AC16" s="276"/>
    </row>
    <row r="17" spans="1:29" ht="24" thickBot="1" x14ac:dyDescent="0.5">
      <c r="A17" s="2"/>
      <c r="B17" s="282"/>
      <c r="C17" s="283"/>
      <c r="D17" s="2"/>
      <c r="E17" s="2"/>
      <c r="F17" s="2"/>
      <c r="G17" s="2"/>
      <c r="H17" s="282"/>
      <c r="I17" s="283"/>
      <c r="J17" s="2"/>
      <c r="K17" s="2"/>
      <c r="L17" s="282"/>
      <c r="M17" s="283"/>
      <c r="N17" s="2"/>
      <c r="O17" s="282"/>
      <c r="P17" s="283"/>
      <c r="Q17" s="2"/>
      <c r="R17" s="2"/>
      <c r="S17" s="282"/>
      <c r="T17" s="283"/>
      <c r="U17" s="2"/>
      <c r="V17" s="2"/>
      <c r="W17" s="282"/>
      <c r="X17" s="283"/>
      <c r="Y17" s="2"/>
      <c r="Z17" s="2"/>
      <c r="AA17" s="2"/>
      <c r="AB17" s="276"/>
      <c r="AC17" s="276"/>
    </row>
    <row r="18" spans="1:29" ht="46.8" x14ac:dyDescent="0.45">
      <c r="A18" s="2"/>
      <c r="B18" s="284" t="s">
        <v>111</v>
      </c>
      <c r="C18" s="293">
        <f>C16</f>
        <v>767673.11459999997</v>
      </c>
      <c r="D18" s="295">
        <v>0.6038</v>
      </c>
      <c r="E18" s="2"/>
      <c r="F18" s="2"/>
      <c r="G18" s="2"/>
      <c r="H18" s="284" t="s">
        <v>111</v>
      </c>
      <c r="I18" s="293">
        <f>I16</f>
        <v>954312.5858</v>
      </c>
      <c r="J18" s="296">
        <v>0.6</v>
      </c>
      <c r="K18" s="2"/>
      <c r="L18" s="284" t="s">
        <v>111</v>
      </c>
      <c r="M18" s="293">
        <f>M16</f>
        <v>738665.34762000002</v>
      </c>
      <c r="N18" s="295">
        <v>0.6129</v>
      </c>
      <c r="O18" s="284" t="s">
        <v>111</v>
      </c>
      <c r="P18" s="293">
        <f>P16</f>
        <v>661282.01980000001</v>
      </c>
      <c r="Q18" s="297">
        <v>0.61990000000000001</v>
      </c>
      <c r="R18" s="2"/>
      <c r="S18" s="284" t="s">
        <v>111</v>
      </c>
      <c r="T18" s="293">
        <f>T16</f>
        <v>674428.90760000004</v>
      </c>
      <c r="U18" s="297">
        <v>0.6139</v>
      </c>
      <c r="V18" s="2"/>
      <c r="W18" s="284" t="s">
        <v>111</v>
      </c>
      <c r="X18" s="293">
        <f>X16</f>
        <v>195946.25277736559</v>
      </c>
      <c r="Y18" s="295">
        <v>0.67842439058811821</v>
      </c>
      <c r="Z18" s="2"/>
      <c r="AA18" s="2"/>
      <c r="AB18" s="276"/>
      <c r="AC18" s="276"/>
    </row>
    <row r="19" spans="1:29" ht="23.4" x14ac:dyDescent="0.45">
      <c r="A19" s="2"/>
      <c r="B19" s="286"/>
      <c r="C19" s="2"/>
      <c r="D19" s="298"/>
      <c r="E19" s="2"/>
      <c r="F19" s="2"/>
      <c r="G19" s="2"/>
      <c r="H19" s="286"/>
      <c r="I19" s="2"/>
      <c r="J19" s="298"/>
      <c r="K19" s="2"/>
      <c r="L19" s="286"/>
      <c r="M19" s="2"/>
      <c r="N19" s="298"/>
      <c r="O19" s="286"/>
      <c r="P19" s="299"/>
      <c r="Q19" s="300"/>
      <c r="R19" s="49"/>
      <c r="S19" s="286"/>
      <c r="T19" s="299"/>
      <c r="U19" s="300"/>
      <c r="V19" s="2"/>
      <c r="W19" s="286"/>
      <c r="X19" s="2"/>
      <c r="Y19" s="298"/>
      <c r="Z19" s="2"/>
      <c r="AA19" s="2"/>
      <c r="AB19" s="276"/>
      <c r="AC19" s="276"/>
    </row>
    <row r="20" spans="1:29" ht="23.4" x14ac:dyDescent="0.45">
      <c r="A20" s="2"/>
      <c r="B20" s="301" t="s">
        <v>78</v>
      </c>
      <c r="C20" s="302">
        <f>C22*D20</f>
        <v>503729.85757621727</v>
      </c>
      <c r="D20" s="303">
        <v>0.3962</v>
      </c>
      <c r="E20" s="2"/>
      <c r="F20" s="2"/>
      <c r="G20" s="2"/>
      <c r="H20" s="301" t="s">
        <v>78</v>
      </c>
      <c r="I20" s="302">
        <f>I22*J20</f>
        <v>636208.39053333341</v>
      </c>
      <c r="J20" s="304">
        <v>0.4</v>
      </c>
      <c r="K20" s="2"/>
      <c r="L20" s="301" t="s">
        <v>78</v>
      </c>
      <c r="M20" s="302">
        <f>M22*N20</f>
        <v>466531.8258503867</v>
      </c>
      <c r="N20" s="303">
        <v>0.3871</v>
      </c>
      <c r="O20" s="301" t="s">
        <v>78</v>
      </c>
      <c r="P20" s="302">
        <f>P22*Q20</f>
        <v>405473.94051618001</v>
      </c>
      <c r="Q20" s="305">
        <v>0.38009999999999999</v>
      </c>
      <c r="R20" s="7"/>
      <c r="S20" s="301" t="s">
        <v>78</v>
      </c>
      <c r="T20" s="302">
        <f>T22*U20</f>
        <v>424168.43333500571</v>
      </c>
      <c r="U20" s="305">
        <v>0.3861</v>
      </c>
      <c r="V20" s="2"/>
      <c r="W20" s="301" t="s">
        <v>78</v>
      </c>
      <c r="X20" s="302">
        <f>X22*Y20</f>
        <v>92879.230940137641</v>
      </c>
      <c r="Y20" s="303">
        <v>0.32157560941188174</v>
      </c>
      <c r="Z20" s="2"/>
      <c r="AA20" s="2"/>
      <c r="AB20" s="276"/>
      <c r="AC20" s="276"/>
    </row>
    <row r="21" spans="1:29" ht="24" thickBot="1" x14ac:dyDescent="0.5">
      <c r="A21" s="2"/>
      <c r="B21" s="301"/>
      <c r="C21" s="306"/>
      <c r="D21" s="298"/>
      <c r="E21" s="2"/>
      <c r="F21" s="2"/>
      <c r="G21" s="2"/>
      <c r="H21" s="301"/>
      <c r="I21" s="306"/>
      <c r="J21" s="298"/>
      <c r="K21" s="2"/>
      <c r="L21" s="301"/>
      <c r="M21" s="306"/>
      <c r="N21" s="298"/>
      <c r="O21" s="301"/>
      <c r="P21" s="307"/>
      <c r="Q21" s="308"/>
      <c r="R21" s="49"/>
      <c r="S21" s="301"/>
      <c r="T21" s="307"/>
      <c r="U21" s="308"/>
      <c r="V21" s="2"/>
      <c r="W21" s="301"/>
      <c r="X21" s="306"/>
      <c r="Y21" s="298"/>
      <c r="Z21" s="2"/>
      <c r="AA21" s="2"/>
      <c r="AB21" s="276"/>
      <c r="AC21" s="276"/>
    </row>
    <row r="22" spans="1:29" ht="47.4" thickBot="1" x14ac:dyDescent="0.5">
      <c r="A22" s="2"/>
      <c r="B22" s="291" t="s">
        <v>112</v>
      </c>
      <c r="C22" s="292">
        <f>C18/D18</f>
        <v>1271402.9721762172</v>
      </c>
      <c r="D22" s="309">
        <f>SUM(D18:D20)</f>
        <v>1</v>
      </c>
      <c r="E22" s="2"/>
      <c r="F22" s="2"/>
      <c r="G22" s="2"/>
      <c r="H22" s="291" t="s">
        <v>112</v>
      </c>
      <c r="I22" s="292">
        <f>I18/J18</f>
        <v>1590520.9763333334</v>
      </c>
      <c r="J22" s="309">
        <f>SUM(J18:J20)</f>
        <v>1</v>
      </c>
      <c r="K22" s="2"/>
      <c r="L22" s="291" t="s">
        <v>112</v>
      </c>
      <c r="M22" s="292">
        <f>M18/N18</f>
        <v>1205197.1734703868</v>
      </c>
      <c r="N22" s="309">
        <f>SUM(N18:N20)</f>
        <v>1</v>
      </c>
      <c r="O22" s="291" t="s">
        <v>112</v>
      </c>
      <c r="P22" s="310">
        <f>P18/Q18</f>
        <v>1066755.96031618</v>
      </c>
      <c r="Q22" s="311">
        <f>SUM(Q18:Q20)</f>
        <v>1</v>
      </c>
      <c r="R22" s="312"/>
      <c r="S22" s="291" t="s">
        <v>112</v>
      </c>
      <c r="T22" s="310">
        <f>T18/U18</f>
        <v>1098597.3409350058</v>
      </c>
      <c r="U22" s="311">
        <f>SUM(U18,U20)</f>
        <v>1</v>
      </c>
      <c r="V22" s="2"/>
      <c r="W22" s="291" t="s">
        <v>112</v>
      </c>
      <c r="X22" s="292">
        <f>X18/Y18</f>
        <v>288825.48371750326</v>
      </c>
      <c r="Y22" s="309">
        <f>SUM(Y18:Y20)</f>
        <v>1</v>
      </c>
      <c r="Z22" s="2"/>
      <c r="AA22" s="2"/>
      <c r="AB22" s="276"/>
      <c r="AC22" s="276"/>
    </row>
    <row r="23" spans="1:29" ht="24" thickBot="1" x14ac:dyDescent="0.5">
      <c r="A23" s="2"/>
      <c r="B23" s="282"/>
      <c r="C23" s="283"/>
      <c r="D23" s="2"/>
      <c r="E23" s="2"/>
      <c r="F23" s="2"/>
      <c r="G23" s="2"/>
      <c r="H23" s="282"/>
      <c r="I23" s="283"/>
      <c r="J23" s="2"/>
      <c r="K23" s="2"/>
      <c r="L23" s="282"/>
      <c r="M23" s="283"/>
      <c r="N23" s="2"/>
      <c r="O23" s="282"/>
      <c r="P23" s="283"/>
      <c r="Q23" s="2"/>
      <c r="R23" s="49"/>
      <c r="S23" s="282"/>
      <c r="T23" s="283"/>
      <c r="U23" s="2"/>
      <c r="V23" s="2"/>
      <c r="W23" s="282"/>
      <c r="X23" s="283"/>
      <c r="Y23" s="2"/>
      <c r="Z23" s="2"/>
      <c r="AA23" s="2"/>
      <c r="AB23" s="276"/>
      <c r="AC23" s="276"/>
    </row>
    <row r="24" spans="1:29" ht="46.8" x14ac:dyDescent="0.45">
      <c r="A24" s="2"/>
      <c r="B24" s="284" t="s">
        <v>113</v>
      </c>
      <c r="C24" s="293">
        <f>C22</f>
        <v>1271402.9721762172</v>
      </c>
      <c r="D24" s="2"/>
      <c r="E24" s="2"/>
      <c r="F24" s="2"/>
      <c r="G24" s="2"/>
      <c r="H24" s="284" t="s">
        <v>113</v>
      </c>
      <c r="I24" s="293">
        <f>I22</f>
        <v>1590520.9763333334</v>
      </c>
      <c r="J24" s="2"/>
      <c r="K24" s="2"/>
      <c r="L24" s="284" t="s">
        <v>113</v>
      </c>
      <c r="M24" s="293">
        <f>M22</f>
        <v>1205197.1734703868</v>
      </c>
      <c r="N24" s="2"/>
      <c r="O24" s="284" t="s">
        <v>113</v>
      </c>
      <c r="P24" s="293">
        <f>P22</f>
        <v>1066755.96031618</v>
      </c>
      <c r="Q24" s="2"/>
      <c r="R24" s="2"/>
      <c r="S24" s="284" t="s">
        <v>113</v>
      </c>
      <c r="T24" s="293">
        <f>T22</f>
        <v>1098597.3409350058</v>
      </c>
      <c r="U24" s="2"/>
      <c r="V24" s="2"/>
      <c r="W24" s="284" t="s">
        <v>113</v>
      </c>
      <c r="X24" s="293">
        <f>X22</f>
        <v>288825.48371750326</v>
      </c>
      <c r="Y24" s="2"/>
      <c r="Z24" s="2"/>
      <c r="AA24" s="2"/>
      <c r="AB24" s="276"/>
      <c r="AC24" s="276"/>
    </row>
    <row r="25" spans="1:29" ht="46.8" x14ac:dyDescent="0.45">
      <c r="A25" s="2"/>
      <c r="B25" s="286" t="s">
        <v>114</v>
      </c>
      <c r="C25" s="313">
        <v>17550</v>
      </c>
      <c r="D25" s="2"/>
      <c r="E25" s="2"/>
      <c r="F25" s="2"/>
      <c r="G25" s="2"/>
      <c r="H25" s="286" t="s">
        <v>114</v>
      </c>
      <c r="I25" s="313">
        <v>20940</v>
      </c>
      <c r="J25" s="2"/>
      <c r="K25" s="2"/>
      <c r="L25" s="286" t="s">
        <v>114</v>
      </c>
      <c r="M25" s="313">
        <v>17918</v>
      </c>
      <c r="N25" s="2"/>
      <c r="O25" s="286" t="s">
        <v>114</v>
      </c>
      <c r="P25" s="314">
        <v>15157</v>
      </c>
      <c r="Q25" s="2"/>
      <c r="R25" s="2"/>
      <c r="S25" s="286" t="s">
        <v>114</v>
      </c>
      <c r="T25" s="314">
        <v>14663</v>
      </c>
      <c r="U25" s="2"/>
      <c r="V25" s="2"/>
      <c r="W25" s="286" t="s">
        <v>114</v>
      </c>
      <c r="X25" s="313">
        <v>3865</v>
      </c>
      <c r="Y25" s="2"/>
      <c r="Z25" s="2"/>
      <c r="AA25" s="2"/>
      <c r="AB25" s="276"/>
      <c r="AC25" s="276"/>
    </row>
    <row r="26" spans="1:29" ht="47.4" thickBot="1" x14ac:dyDescent="0.5">
      <c r="A26" s="2"/>
      <c r="B26" s="291" t="s">
        <v>115</v>
      </c>
      <c r="C26" s="292">
        <f>C24/C25</f>
        <v>72.444613799214665</v>
      </c>
      <c r="D26" s="2"/>
      <c r="E26" s="2"/>
      <c r="F26" s="2"/>
      <c r="G26" s="2"/>
      <c r="H26" s="291" t="s">
        <v>115</v>
      </c>
      <c r="I26" s="292">
        <f>I24/I25</f>
        <v>75.956111572747531</v>
      </c>
      <c r="J26" s="2"/>
      <c r="K26" s="2"/>
      <c r="L26" s="291" t="s">
        <v>115</v>
      </c>
      <c r="M26" s="292">
        <f>M24/M25</f>
        <v>67.261813454090117</v>
      </c>
      <c r="N26" s="2"/>
      <c r="O26" s="291" t="s">
        <v>115</v>
      </c>
      <c r="P26" s="292">
        <f>P24/P25</f>
        <v>70.380415670395195</v>
      </c>
      <c r="Q26" s="2"/>
      <c r="R26" s="2"/>
      <c r="S26" s="291" t="s">
        <v>115</v>
      </c>
      <c r="T26" s="292">
        <f>T24/T25</f>
        <v>74.923094928391578</v>
      </c>
      <c r="U26" s="2"/>
      <c r="V26" s="2"/>
      <c r="W26" s="291" t="s">
        <v>115</v>
      </c>
      <c r="X26" s="292">
        <f>X24/X25</f>
        <v>74.728456330531245</v>
      </c>
      <c r="Y26" s="2"/>
      <c r="Z26" s="2"/>
      <c r="AA26" s="2"/>
      <c r="AB26" s="276"/>
      <c r="AC26" s="276"/>
    </row>
    <row r="27" spans="1:29" ht="47.4" thickBot="1" x14ac:dyDescent="0.5">
      <c r="A27" s="2"/>
      <c r="B27" s="315" t="s">
        <v>116</v>
      </c>
      <c r="C27" s="316">
        <f>C26*1.0596</f>
        <v>76.762312781647864</v>
      </c>
      <c r="D27" s="2"/>
      <c r="E27" s="2"/>
      <c r="F27" s="2"/>
      <c r="G27" s="2"/>
      <c r="H27" s="315" t="s">
        <v>116</v>
      </c>
      <c r="I27" s="316">
        <f>I26*1.0596</f>
        <v>80.483095822483293</v>
      </c>
      <c r="J27" s="2"/>
      <c r="K27" s="2"/>
      <c r="L27" s="315" t="s">
        <v>116</v>
      </c>
      <c r="M27" s="316">
        <f>M26*1.0596</f>
        <v>71.270617535953889</v>
      </c>
      <c r="N27" s="2"/>
      <c r="O27" s="315" t="s">
        <v>116</v>
      </c>
      <c r="P27" s="316">
        <f>P26*1.0596</f>
        <v>74.575088444350754</v>
      </c>
      <c r="Q27" s="2"/>
      <c r="R27" s="2"/>
      <c r="S27" s="315" t="s">
        <v>116</v>
      </c>
      <c r="T27" s="316">
        <f>T26*1.0596</f>
        <v>79.388511386123724</v>
      </c>
      <c r="U27" s="2"/>
      <c r="V27" s="2"/>
      <c r="W27" s="315" t="s">
        <v>116</v>
      </c>
      <c r="X27" s="316">
        <f>X26*1.0596</f>
        <v>79.182272327830916</v>
      </c>
      <c r="Y27" s="2"/>
      <c r="Z27" s="2"/>
      <c r="AA27" s="2"/>
      <c r="AB27" s="276"/>
      <c r="AC27" s="276"/>
    </row>
    <row r="28" spans="1:29" ht="47.4" thickBot="1" x14ac:dyDescent="0.5">
      <c r="A28" s="2"/>
      <c r="B28" s="317" t="s">
        <v>117</v>
      </c>
      <c r="C28" s="318">
        <f>C27*1.0207</f>
        <v>78.351292656227969</v>
      </c>
      <c r="D28" s="2"/>
      <c r="E28" s="2"/>
      <c r="F28" s="2"/>
      <c r="G28" s="2"/>
      <c r="H28" s="317" t="s">
        <v>117</v>
      </c>
      <c r="I28" s="318">
        <f>I27*1.0207</f>
        <v>82.149095906008696</v>
      </c>
      <c r="J28" s="2"/>
      <c r="K28" s="2"/>
      <c r="L28" s="317" t="s">
        <v>117</v>
      </c>
      <c r="M28" s="318">
        <f>M27*1.0207</f>
        <v>72.745919318948125</v>
      </c>
      <c r="N28" s="2"/>
      <c r="O28" s="317" t="s">
        <v>117</v>
      </c>
      <c r="P28" s="318">
        <f>P27*1.0207</f>
        <v>76.118792775148805</v>
      </c>
      <c r="Q28" s="2"/>
      <c r="R28" s="2"/>
      <c r="S28" s="317" t="s">
        <v>117</v>
      </c>
      <c r="T28" s="318">
        <f>T27*1.0207</f>
        <v>81.031853571816484</v>
      </c>
      <c r="U28" s="2"/>
      <c r="V28" s="2"/>
      <c r="W28" s="317" t="s">
        <v>117</v>
      </c>
      <c r="X28" s="318">
        <f>X27*1.0207</f>
        <v>80.821345365017009</v>
      </c>
      <c r="Y28" s="2"/>
      <c r="Z28" s="2"/>
      <c r="AA28" s="2"/>
      <c r="AB28" s="276"/>
      <c r="AC28" s="276"/>
    </row>
    <row r="29" spans="1:29" ht="24" thickBot="1" x14ac:dyDescent="0.5">
      <c r="A29" s="2"/>
      <c r="B29" s="319" t="s">
        <v>118</v>
      </c>
      <c r="C29" s="320">
        <v>66.260000000000005</v>
      </c>
      <c r="D29" s="2"/>
      <c r="E29" s="2"/>
      <c r="F29" s="2"/>
      <c r="G29" s="2"/>
      <c r="H29" s="319" t="s">
        <v>118</v>
      </c>
      <c r="I29" s="320">
        <v>66.260000000000005</v>
      </c>
      <c r="J29" s="2" t="s">
        <v>119</v>
      </c>
      <c r="K29" s="2"/>
      <c r="L29" s="319" t="s">
        <v>118</v>
      </c>
      <c r="M29" s="320">
        <v>70.02</v>
      </c>
      <c r="N29" s="2"/>
      <c r="O29" s="319" t="s">
        <v>118</v>
      </c>
      <c r="P29" s="320">
        <v>66.260000000000005</v>
      </c>
      <c r="Q29" s="2"/>
      <c r="R29" s="2"/>
      <c r="S29" s="319" t="s">
        <v>118</v>
      </c>
      <c r="T29" s="320">
        <v>66.260000000000005</v>
      </c>
      <c r="U29" s="936" t="s">
        <v>120</v>
      </c>
      <c r="V29" s="2"/>
      <c r="W29" s="319" t="s">
        <v>118</v>
      </c>
      <c r="X29" s="320">
        <v>79.42</v>
      </c>
      <c r="Y29" s="2"/>
      <c r="Z29" s="2"/>
      <c r="AA29" s="2"/>
      <c r="AB29" s="276"/>
      <c r="AC29" s="276"/>
    </row>
    <row r="30" spans="1:29" ht="24" thickBot="1" x14ac:dyDescent="0.5">
      <c r="A30" s="2"/>
      <c r="B30" s="319" t="s">
        <v>85</v>
      </c>
      <c r="C30" s="320">
        <v>67.59</v>
      </c>
      <c r="D30" s="2"/>
      <c r="E30" s="2"/>
      <c r="F30" s="2"/>
      <c r="G30" s="2"/>
      <c r="H30" s="319" t="s">
        <v>85</v>
      </c>
      <c r="I30" s="320">
        <v>67.59</v>
      </c>
      <c r="J30" s="2"/>
      <c r="K30" s="2"/>
      <c r="L30" s="319" t="s">
        <v>85</v>
      </c>
      <c r="M30" s="320">
        <v>71.42</v>
      </c>
      <c r="N30" s="2"/>
      <c r="O30" s="319" t="s">
        <v>85</v>
      </c>
      <c r="P30" s="320">
        <v>67.59</v>
      </c>
      <c r="Q30" s="2"/>
      <c r="R30" s="2"/>
      <c r="S30" s="319" t="s">
        <v>85</v>
      </c>
      <c r="T30" s="320">
        <v>67.59</v>
      </c>
      <c r="U30" s="936"/>
      <c r="V30" s="2"/>
      <c r="W30" s="319" t="s">
        <v>85</v>
      </c>
      <c r="X30" s="320">
        <v>81.010000000000005</v>
      </c>
      <c r="Y30" s="2"/>
      <c r="Z30" s="2"/>
      <c r="AA30" s="2"/>
      <c r="AB30" s="276"/>
      <c r="AC30" s="276"/>
    </row>
    <row r="31" spans="1:29" ht="24" thickBot="1" x14ac:dyDescent="0.5">
      <c r="A31" s="2"/>
      <c r="B31" s="321"/>
      <c r="C31" s="7"/>
      <c r="D31" s="2"/>
      <c r="E31" s="2"/>
      <c r="F31" s="2"/>
      <c r="G31" s="2"/>
      <c r="H31" s="321"/>
      <c r="I31" s="7"/>
      <c r="J31" s="2"/>
      <c r="K31" s="2"/>
      <c r="L31" s="321"/>
      <c r="M31" s="7"/>
      <c r="N31" s="2"/>
      <c r="O31" s="321"/>
      <c r="P31" s="7"/>
      <c r="Q31" s="2"/>
      <c r="R31" s="2"/>
      <c r="S31" s="321"/>
      <c r="T31" s="7"/>
      <c r="U31" s="322"/>
      <c r="V31" s="2"/>
      <c r="W31" s="321"/>
      <c r="X31" s="7"/>
      <c r="Y31" s="2"/>
      <c r="Z31" s="2"/>
      <c r="AA31" s="2"/>
      <c r="AB31" s="276"/>
      <c r="AC31" s="276"/>
    </row>
    <row r="32" spans="1:29" ht="24" thickBot="1" x14ac:dyDescent="0.5">
      <c r="A32" s="2"/>
      <c r="B32" s="321"/>
      <c r="C32" s="7"/>
      <c r="D32" s="2"/>
      <c r="E32" s="2"/>
      <c r="F32" s="2"/>
      <c r="G32" s="2"/>
      <c r="H32" s="321"/>
      <c r="I32" s="7"/>
      <c r="J32" s="2"/>
      <c r="K32" s="2"/>
      <c r="L32" s="321"/>
      <c r="M32" s="7"/>
      <c r="N32" s="2"/>
      <c r="O32" s="323" t="s">
        <v>121</v>
      </c>
      <c r="P32" s="324">
        <f>P28*1.2</f>
        <v>91.342551330178566</v>
      </c>
      <c r="Q32" s="2"/>
      <c r="R32" s="2"/>
      <c r="S32" s="323" t="s">
        <v>121</v>
      </c>
      <c r="T32" s="324">
        <f>T28*1.2</f>
        <v>97.238224286179772</v>
      </c>
      <c r="U32" s="322"/>
      <c r="V32" s="2"/>
      <c r="W32" s="321"/>
      <c r="X32" s="7"/>
      <c r="Y32" s="2"/>
      <c r="Z32" s="2"/>
      <c r="AA32" s="2"/>
      <c r="AB32" s="276"/>
      <c r="AC32" s="276"/>
    </row>
    <row r="33" spans="1:31" ht="24" thickBot="1" x14ac:dyDescent="0.5">
      <c r="A33" s="2"/>
      <c r="B33" s="321"/>
      <c r="C33" s="7"/>
      <c r="D33" s="2"/>
      <c r="E33" s="2"/>
      <c r="F33" s="2"/>
      <c r="G33" s="2"/>
      <c r="H33" s="321"/>
      <c r="I33" s="7"/>
      <c r="J33" s="2"/>
      <c r="K33" s="2"/>
      <c r="L33" s="321"/>
      <c r="M33" s="7"/>
      <c r="N33" s="2"/>
      <c r="O33" s="319" t="s">
        <v>118</v>
      </c>
      <c r="P33" s="320">
        <v>79.42</v>
      </c>
      <c r="Q33" s="2"/>
      <c r="R33" s="2"/>
      <c r="S33" s="319" t="s">
        <v>118</v>
      </c>
      <c r="T33" s="320">
        <v>79.42</v>
      </c>
      <c r="U33" s="322"/>
      <c r="V33" s="2"/>
      <c r="W33" s="321"/>
      <c r="X33" s="7"/>
      <c r="Y33" s="2"/>
      <c r="Z33" s="2"/>
      <c r="AA33" s="2"/>
      <c r="AB33" s="276"/>
      <c r="AC33" s="276"/>
    </row>
    <row r="34" spans="1:31" ht="24" thickBot="1" x14ac:dyDescent="0.5">
      <c r="A34" s="2"/>
      <c r="B34" s="321"/>
      <c r="C34" s="7"/>
      <c r="D34" s="2"/>
      <c r="E34" s="2"/>
      <c r="F34" s="2"/>
      <c r="G34" s="2"/>
      <c r="H34" s="321"/>
      <c r="I34" s="7"/>
      <c r="J34" s="2"/>
      <c r="K34" s="2"/>
      <c r="L34" s="321"/>
      <c r="M34" s="7"/>
      <c r="N34" s="2"/>
      <c r="O34" s="319" t="s">
        <v>85</v>
      </c>
      <c r="P34" s="320">
        <v>81.010000000000005</v>
      </c>
      <c r="Q34" s="2"/>
      <c r="R34" s="2"/>
      <c r="S34" s="319" t="s">
        <v>85</v>
      </c>
      <c r="T34" s="320">
        <v>81.010000000000005</v>
      </c>
      <c r="U34" s="322"/>
      <c r="V34" s="2"/>
      <c r="W34" s="321"/>
      <c r="X34" s="7"/>
      <c r="Y34" s="2"/>
      <c r="Z34" s="2"/>
      <c r="AA34" s="2"/>
      <c r="AB34" s="276"/>
      <c r="AC34" s="276"/>
    </row>
    <row r="35" spans="1:31" ht="23.4" hidden="1" x14ac:dyDescent="0.45">
      <c r="A35" s="2"/>
      <c r="B35" s="321"/>
      <c r="C35" s="7"/>
      <c r="D35" s="2"/>
      <c r="E35" s="2"/>
      <c r="F35" s="2"/>
      <c r="G35" s="2"/>
      <c r="H35" s="321"/>
      <c r="I35" s="7"/>
      <c r="J35" s="2"/>
      <c r="K35" s="2"/>
      <c r="L35" s="321"/>
      <c r="M35" s="7"/>
      <c r="N35" s="2"/>
      <c r="O35" s="321"/>
      <c r="P35" s="7"/>
      <c r="Q35" s="2"/>
      <c r="R35" s="2"/>
      <c r="S35" s="321"/>
      <c r="T35" s="7"/>
      <c r="U35" s="322"/>
      <c r="V35" s="2"/>
      <c r="W35" s="321"/>
      <c r="X35" s="7"/>
      <c r="Y35" s="2"/>
      <c r="Z35" s="2"/>
      <c r="AA35" s="2"/>
      <c r="AB35" s="276"/>
      <c r="AC35" s="276"/>
    </row>
    <row r="36" spans="1:31" ht="23.4" hidden="1" x14ac:dyDescent="0.45">
      <c r="A36" s="2"/>
      <c r="B36" s="321"/>
      <c r="C36" s="7"/>
      <c r="D36" s="2"/>
      <c r="E36" s="2"/>
      <c r="F36" s="2"/>
      <c r="G36" s="2"/>
      <c r="H36" s="321"/>
      <c r="I36" s="7"/>
      <c r="J36" s="2"/>
      <c r="K36" s="2"/>
      <c r="L36" s="321"/>
      <c r="M36" s="7"/>
      <c r="N36" s="2"/>
      <c r="O36" s="321"/>
      <c r="P36" s="7"/>
      <c r="Q36" s="2"/>
      <c r="R36" s="2"/>
      <c r="S36" s="321"/>
      <c r="T36" s="7"/>
      <c r="U36" s="322"/>
      <c r="V36" s="2"/>
      <c r="W36" s="321"/>
      <c r="X36" s="7"/>
      <c r="Y36" s="2"/>
      <c r="Z36" s="2"/>
      <c r="AA36" s="2"/>
      <c r="AB36" s="276"/>
      <c r="AC36" s="276"/>
    </row>
    <row r="37" spans="1:31" ht="24" hidden="1" thickBot="1" x14ac:dyDescent="0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 t="s">
        <v>122</v>
      </c>
      <c r="U37" s="2"/>
      <c r="V37" s="2"/>
      <c r="W37" s="2"/>
      <c r="X37" s="2"/>
      <c r="Y37" s="2"/>
      <c r="Z37" s="2"/>
      <c r="AA37" s="2"/>
      <c r="AB37" s="2"/>
      <c r="AC37" s="2"/>
      <c r="AD37" s="276"/>
      <c r="AE37" s="276"/>
    </row>
    <row r="38" spans="1:31" ht="24" hidden="1" thickBot="1" x14ac:dyDescent="0.5">
      <c r="A38" s="2"/>
      <c r="B38" s="2" t="s">
        <v>123</v>
      </c>
      <c r="C38" s="2"/>
      <c r="D38" s="2"/>
      <c r="E38" s="2"/>
      <c r="F38" s="2"/>
      <c r="G38" s="2"/>
      <c r="H38" s="2" t="s">
        <v>97</v>
      </c>
      <c r="I38" s="2"/>
      <c r="J38" s="2"/>
      <c r="K38" s="2"/>
      <c r="L38" s="2"/>
      <c r="M38" s="2" t="s">
        <v>94</v>
      </c>
      <c r="N38" s="2"/>
      <c r="O38" s="7"/>
      <c r="P38" s="7"/>
      <c r="Q38" s="7"/>
      <c r="R38" s="2"/>
      <c r="S38" s="2"/>
      <c r="T38" s="933" t="s">
        <v>99</v>
      </c>
      <c r="U38" s="937">
        <v>165081.5</v>
      </c>
      <c r="V38" s="2"/>
      <c r="W38" s="276"/>
    </row>
    <row r="39" spans="1:31" ht="21" hidden="1" customHeight="1" x14ac:dyDescent="0.45">
      <c r="A39" s="2"/>
      <c r="B39" s="933" t="s">
        <v>99</v>
      </c>
      <c r="C39" s="277"/>
      <c r="D39" s="2"/>
      <c r="E39" s="940" t="s">
        <v>99</v>
      </c>
      <c r="F39" s="277"/>
      <c r="G39" s="2"/>
      <c r="H39" s="933" t="s">
        <v>99</v>
      </c>
      <c r="I39" s="277"/>
      <c r="J39" s="2"/>
      <c r="K39" s="2"/>
      <c r="L39" s="2"/>
      <c r="M39" s="933" t="s">
        <v>99</v>
      </c>
      <c r="N39" s="277"/>
      <c r="O39" s="7"/>
      <c r="P39" s="7"/>
      <c r="Q39" s="7"/>
      <c r="R39" s="2"/>
      <c r="S39" s="2"/>
      <c r="T39" s="934"/>
      <c r="U39" s="938"/>
      <c r="V39" s="2"/>
      <c r="W39" s="276"/>
    </row>
    <row r="40" spans="1:31" ht="24" hidden="1" thickBot="1" x14ac:dyDescent="0.5">
      <c r="A40" s="2"/>
      <c r="B40" s="934"/>
      <c r="C40" s="278"/>
      <c r="D40" s="2"/>
      <c r="E40" s="941"/>
      <c r="F40" s="278"/>
      <c r="G40" s="2"/>
      <c r="H40" s="934"/>
      <c r="I40" s="278"/>
      <c r="J40" s="2"/>
      <c r="K40" s="2"/>
      <c r="L40" s="2"/>
      <c r="M40" s="934"/>
      <c r="N40" s="278"/>
      <c r="O40" s="37"/>
      <c r="P40" s="37"/>
      <c r="Q40" s="37"/>
      <c r="R40" s="2"/>
      <c r="S40" s="2"/>
      <c r="T40" s="935"/>
      <c r="U40" s="939"/>
      <c r="V40" s="2"/>
      <c r="W40" s="276"/>
    </row>
    <row r="41" spans="1:31" ht="24" hidden="1" thickBot="1" x14ac:dyDescent="0.5">
      <c r="A41" s="2"/>
      <c r="B41" s="935"/>
      <c r="C41" s="279">
        <v>717242.22</v>
      </c>
      <c r="D41" s="2"/>
      <c r="E41" s="942"/>
      <c r="F41" s="279">
        <v>717242.22</v>
      </c>
      <c r="G41" s="2"/>
      <c r="H41" s="935"/>
      <c r="I41" s="281">
        <v>616849</v>
      </c>
      <c r="J41" s="2"/>
      <c r="K41" s="2"/>
      <c r="L41" s="2"/>
      <c r="M41" s="935"/>
      <c r="N41" s="281">
        <v>642893.38</v>
      </c>
      <c r="O41" s="7"/>
      <c r="P41" s="7"/>
      <c r="Q41" s="7"/>
      <c r="R41" s="2"/>
      <c r="S41" s="2"/>
      <c r="T41" s="325"/>
      <c r="U41" s="283"/>
      <c r="V41" s="2"/>
      <c r="W41" s="276"/>
    </row>
    <row r="42" spans="1:31" ht="24" hidden="1" thickBot="1" x14ac:dyDescent="0.5">
      <c r="A42" s="2"/>
      <c r="B42" s="282"/>
      <c r="C42" s="283"/>
      <c r="D42" s="2"/>
      <c r="E42" s="282"/>
      <c r="F42" s="283"/>
      <c r="G42" s="2"/>
      <c r="H42" s="282"/>
      <c r="I42" s="283"/>
      <c r="J42" s="2"/>
      <c r="K42" s="2"/>
      <c r="L42" s="2"/>
      <c r="M42" s="282"/>
      <c r="N42" s="283"/>
      <c r="O42" s="37"/>
      <c r="P42" s="37"/>
      <c r="Q42" s="37"/>
      <c r="R42" s="2"/>
      <c r="S42" s="2"/>
      <c r="T42" s="326" t="s">
        <v>100</v>
      </c>
      <c r="U42" s="285">
        <f>U38</f>
        <v>165081.5</v>
      </c>
      <c r="V42" s="2"/>
      <c r="W42" s="276"/>
    </row>
    <row r="43" spans="1:31" ht="46.8" hidden="1" x14ac:dyDescent="0.45">
      <c r="A43" s="2"/>
      <c r="B43" s="284" t="s">
        <v>100</v>
      </c>
      <c r="C43" s="285">
        <f>C41</f>
        <v>717242.22</v>
      </c>
      <c r="D43" s="2"/>
      <c r="E43" s="284" t="s">
        <v>100</v>
      </c>
      <c r="F43" s="285">
        <f>F41</f>
        <v>717242.22</v>
      </c>
      <c r="G43" s="2"/>
      <c r="H43" s="284" t="s">
        <v>100</v>
      </c>
      <c r="I43" s="285">
        <f>I41</f>
        <v>616849</v>
      </c>
      <c r="J43" s="2"/>
      <c r="K43" s="2"/>
      <c r="L43" s="2"/>
      <c r="M43" s="284" t="s">
        <v>100</v>
      </c>
      <c r="N43" s="285">
        <f>N41</f>
        <v>642893.38</v>
      </c>
      <c r="O43" s="327"/>
      <c r="P43" s="327"/>
      <c r="Q43" s="327"/>
      <c r="R43" s="2"/>
      <c r="S43" s="2"/>
      <c r="T43" s="328" t="s">
        <v>106</v>
      </c>
      <c r="U43" s="290">
        <v>0.187</v>
      </c>
      <c r="V43" s="2"/>
      <c r="W43" s="276"/>
    </row>
    <row r="44" spans="1:31" ht="47.4" hidden="1" thickBot="1" x14ac:dyDescent="0.5">
      <c r="A44" s="2"/>
      <c r="B44" s="286" t="s">
        <v>124</v>
      </c>
      <c r="C44" s="287">
        <v>0.1174</v>
      </c>
      <c r="D44" s="2"/>
      <c r="E44" s="286" t="s">
        <v>124</v>
      </c>
      <c r="F44" s="287">
        <v>0.1174</v>
      </c>
      <c r="G44" s="2"/>
      <c r="H44" s="286" t="s">
        <v>125</v>
      </c>
      <c r="I44" s="290">
        <v>0.13009999999999999</v>
      </c>
      <c r="J44" s="2"/>
      <c r="K44" s="2"/>
      <c r="L44" s="2"/>
      <c r="M44" s="286" t="s">
        <v>125</v>
      </c>
      <c r="N44" s="290">
        <v>0.12529999999999999</v>
      </c>
      <c r="O44" s="43"/>
      <c r="P44" s="43"/>
      <c r="Q44" s="43"/>
      <c r="R44" s="2"/>
      <c r="S44" s="2"/>
      <c r="T44" s="329" t="s">
        <v>107</v>
      </c>
      <c r="U44" s="292">
        <f>U42*U43</f>
        <v>30870.2405</v>
      </c>
      <c r="V44" s="2"/>
      <c r="W44" s="276"/>
    </row>
    <row r="45" spans="1:31" ht="70.8" hidden="1" thickBot="1" x14ac:dyDescent="0.5">
      <c r="A45" s="2"/>
      <c r="B45" s="291" t="s">
        <v>107</v>
      </c>
      <c r="C45" s="292">
        <f>C43*C44</f>
        <v>84204.236627999999</v>
      </c>
      <c r="D45" s="2"/>
      <c r="E45" s="291" t="s">
        <v>107</v>
      </c>
      <c r="F45" s="292">
        <f>F43*F44</f>
        <v>84204.236627999999</v>
      </c>
      <c r="G45" s="2"/>
      <c r="H45" s="291" t="s">
        <v>107</v>
      </c>
      <c r="I45" s="292">
        <f>I43*I44</f>
        <v>80252.054900000003</v>
      </c>
      <c r="J45" s="2"/>
      <c r="K45" s="2"/>
      <c r="L45" s="2"/>
      <c r="M45" s="291" t="s">
        <v>107</v>
      </c>
      <c r="N45" s="292">
        <f>N43*N44</f>
        <v>80554.540513999993</v>
      </c>
      <c r="O45" s="7"/>
      <c r="P45" s="7"/>
      <c r="Q45" s="7"/>
      <c r="R45" s="2"/>
      <c r="S45" s="2"/>
      <c r="T45" s="325"/>
      <c r="U45" s="283"/>
      <c r="V45" s="2"/>
      <c r="W45" s="276"/>
    </row>
    <row r="46" spans="1:31" ht="24" hidden="1" thickBot="1" x14ac:dyDescent="0.5">
      <c r="A46" s="2"/>
      <c r="B46" s="282"/>
      <c r="C46" s="283"/>
      <c r="D46" s="2"/>
      <c r="E46" s="282"/>
      <c r="F46" s="283"/>
      <c r="G46" s="2"/>
      <c r="H46" s="282"/>
      <c r="I46" s="283"/>
      <c r="J46" s="2"/>
      <c r="K46" s="2"/>
      <c r="L46" s="2"/>
      <c r="M46" s="282"/>
      <c r="N46" s="283"/>
      <c r="O46" s="43"/>
      <c r="P46" s="43"/>
      <c r="Q46" s="43"/>
      <c r="R46" s="2"/>
      <c r="S46" s="2"/>
      <c r="T46" s="326" t="s">
        <v>108</v>
      </c>
      <c r="U46" s="293">
        <f>U42</f>
        <v>165081.5</v>
      </c>
      <c r="V46" s="2"/>
      <c r="W46" s="276"/>
    </row>
    <row r="47" spans="1:31" ht="46.8" hidden="1" x14ac:dyDescent="0.45">
      <c r="A47" s="2"/>
      <c r="B47" s="284" t="s">
        <v>108</v>
      </c>
      <c r="C47" s="293">
        <f>C43</f>
        <v>717242.22</v>
      </c>
      <c r="D47" s="2"/>
      <c r="E47" s="284" t="s">
        <v>108</v>
      </c>
      <c r="F47" s="293">
        <f>F43</f>
        <v>717242.22</v>
      </c>
      <c r="G47" s="2"/>
      <c r="H47" s="284" t="s">
        <v>108</v>
      </c>
      <c r="I47" s="293">
        <f>I43</f>
        <v>616849</v>
      </c>
      <c r="J47" s="2"/>
      <c r="K47" s="2"/>
      <c r="L47" s="2"/>
      <c r="M47" s="284" t="s">
        <v>108</v>
      </c>
      <c r="N47" s="293">
        <f>N43</f>
        <v>642893.38</v>
      </c>
      <c r="O47" s="43"/>
      <c r="P47" s="43"/>
      <c r="Q47" s="43"/>
      <c r="R47" s="2"/>
      <c r="S47" s="2"/>
      <c r="T47" s="328" t="s">
        <v>109</v>
      </c>
      <c r="U47" s="294">
        <f>U44</f>
        <v>30870.2405</v>
      </c>
      <c r="V47" s="2"/>
      <c r="W47" s="276"/>
    </row>
    <row r="48" spans="1:31" ht="47.4" hidden="1" thickBot="1" x14ac:dyDescent="0.5">
      <c r="A48" s="2"/>
      <c r="B48" s="286" t="s">
        <v>109</v>
      </c>
      <c r="C48" s="294">
        <f>C45</f>
        <v>84204.236627999999</v>
      </c>
      <c r="D48" s="2"/>
      <c r="E48" s="286" t="s">
        <v>109</v>
      </c>
      <c r="F48" s="294">
        <f>F45</f>
        <v>84204.236627999999</v>
      </c>
      <c r="G48" s="2"/>
      <c r="H48" s="286" t="s">
        <v>109</v>
      </c>
      <c r="I48" s="294">
        <f>I45</f>
        <v>80252.054900000003</v>
      </c>
      <c r="J48" s="2"/>
      <c r="K48" s="2"/>
      <c r="L48" s="2"/>
      <c r="M48" s="286" t="s">
        <v>109</v>
      </c>
      <c r="N48" s="294">
        <f>N45</f>
        <v>80554.540513999993</v>
      </c>
      <c r="O48" s="43"/>
      <c r="P48" s="43"/>
      <c r="Q48" s="43"/>
      <c r="R48" s="2"/>
      <c r="S48" s="2"/>
      <c r="T48" s="291" t="s">
        <v>110</v>
      </c>
      <c r="U48" s="292">
        <f>U46+U47</f>
        <v>195951.74050000001</v>
      </c>
      <c r="V48" s="2"/>
      <c r="W48" s="276"/>
    </row>
    <row r="49" spans="1:23" ht="47.4" hidden="1" thickBot="1" x14ac:dyDescent="0.5">
      <c r="A49" s="2"/>
      <c r="B49" s="291" t="s">
        <v>110</v>
      </c>
      <c r="C49" s="292">
        <f>C47+C48</f>
        <v>801446.45662800001</v>
      </c>
      <c r="D49" s="2"/>
      <c r="E49" s="291" t="s">
        <v>110</v>
      </c>
      <c r="F49" s="292">
        <f>F47+F48</f>
        <v>801446.45662800001</v>
      </c>
      <c r="G49" s="2"/>
      <c r="H49" s="291" t="s">
        <v>110</v>
      </c>
      <c r="I49" s="292">
        <f>I47+I48</f>
        <v>697101.05489999999</v>
      </c>
      <c r="J49" s="2"/>
      <c r="K49" s="2"/>
      <c r="L49" s="2"/>
      <c r="M49" s="291" t="s">
        <v>110</v>
      </c>
      <c r="N49" s="292">
        <f>N47+N48</f>
        <v>723447.920514</v>
      </c>
      <c r="O49" s="7"/>
      <c r="P49" s="7"/>
      <c r="Q49" s="7"/>
      <c r="R49" s="2"/>
      <c r="S49" s="2"/>
      <c r="T49" s="325"/>
      <c r="U49" s="283"/>
      <c r="V49" s="2"/>
      <c r="W49" s="276"/>
    </row>
    <row r="50" spans="1:23" ht="47.4" hidden="1" thickBot="1" x14ac:dyDescent="0.5">
      <c r="A50" s="2"/>
      <c r="B50" s="282"/>
      <c r="C50" s="283"/>
      <c r="D50" s="2"/>
      <c r="E50" s="282"/>
      <c r="F50" s="283"/>
      <c r="G50" s="2"/>
      <c r="H50" s="282"/>
      <c r="I50" s="283"/>
      <c r="J50" s="2"/>
      <c r="K50" s="2"/>
      <c r="L50" s="2"/>
      <c r="M50" s="282"/>
      <c r="N50" s="283"/>
      <c r="O50" s="324"/>
      <c r="P50" s="324"/>
      <c r="Q50" s="324"/>
      <c r="R50" s="2"/>
      <c r="S50" s="2"/>
      <c r="T50" s="284" t="s">
        <v>111</v>
      </c>
      <c r="U50" s="293">
        <f>U48</f>
        <v>195951.74050000001</v>
      </c>
      <c r="V50" s="2"/>
      <c r="W50" s="276"/>
    </row>
    <row r="51" spans="1:23" ht="46.8" hidden="1" x14ac:dyDescent="0.45">
      <c r="A51" s="2"/>
      <c r="B51" s="284" t="s">
        <v>111</v>
      </c>
      <c r="C51" s="293">
        <f>C49</f>
        <v>801446.45662800001</v>
      </c>
      <c r="D51" s="295">
        <v>0.622</v>
      </c>
      <c r="E51" s="284" t="s">
        <v>111</v>
      </c>
      <c r="F51" s="293">
        <f>F49</f>
        <v>801446.45662800001</v>
      </c>
      <c r="G51" s="2"/>
      <c r="H51" s="284" t="s">
        <v>111</v>
      </c>
      <c r="I51" s="293">
        <f>I49</f>
        <v>697101.05489999999</v>
      </c>
      <c r="J51" s="297">
        <v>0.63219999999999998</v>
      </c>
      <c r="K51" s="49"/>
      <c r="L51" s="49"/>
      <c r="M51" s="284" t="s">
        <v>111</v>
      </c>
      <c r="N51" s="293">
        <f>N49</f>
        <v>723447.920514</v>
      </c>
      <c r="O51" s="50"/>
      <c r="P51" s="50"/>
      <c r="Q51" s="50"/>
      <c r="R51" s="297">
        <v>0.63090000000000002</v>
      </c>
      <c r="S51" s="2"/>
      <c r="T51" s="328"/>
      <c r="U51" s="15"/>
      <c r="V51" s="297">
        <v>0.6784</v>
      </c>
      <c r="W51" s="276"/>
    </row>
    <row r="52" spans="1:23" ht="23.4" hidden="1" x14ac:dyDescent="0.45">
      <c r="A52" s="2"/>
      <c r="B52" s="286"/>
      <c r="C52" s="2"/>
      <c r="D52" s="298"/>
      <c r="E52" s="286" t="s">
        <v>126</v>
      </c>
      <c r="F52" s="330">
        <v>0.622</v>
      </c>
      <c r="G52" s="2"/>
      <c r="H52" s="286"/>
      <c r="I52" s="299"/>
      <c r="J52" s="300"/>
      <c r="K52" s="7"/>
      <c r="L52" s="7"/>
      <c r="M52" s="286"/>
      <c r="N52" s="299"/>
      <c r="O52" s="331"/>
      <c r="P52" s="331"/>
      <c r="Q52" s="331"/>
      <c r="R52" s="300"/>
      <c r="S52" s="2"/>
      <c r="T52" s="332" t="s">
        <v>78</v>
      </c>
      <c r="U52" s="302">
        <f>U54*V53</f>
        <v>92892.216604952831</v>
      </c>
      <c r="V52" s="300"/>
      <c r="W52" s="276"/>
    </row>
    <row r="53" spans="1:23" ht="23.4" hidden="1" x14ac:dyDescent="0.45">
      <c r="A53" s="2"/>
      <c r="B53" s="301" t="s">
        <v>78</v>
      </c>
      <c r="C53" s="333">
        <f>F54</f>
        <v>487052.66978357558</v>
      </c>
      <c r="D53" s="303">
        <v>0.378</v>
      </c>
      <c r="E53" s="301"/>
      <c r="F53" s="301"/>
      <c r="G53" s="2"/>
      <c r="H53" s="301" t="s">
        <v>78</v>
      </c>
      <c r="I53" s="302">
        <f>I55*J53</f>
        <v>405558.0006204049</v>
      </c>
      <c r="J53" s="305">
        <v>0.36780000000000002</v>
      </c>
      <c r="K53" s="49"/>
      <c r="L53" s="49"/>
      <c r="M53" s="301" t="s">
        <v>78</v>
      </c>
      <c r="N53" s="302">
        <f>N55*R53</f>
        <v>423243.98076036997</v>
      </c>
      <c r="O53" s="50"/>
      <c r="P53" s="50"/>
      <c r="Q53" s="50"/>
      <c r="R53" s="305">
        <v>0.36909999999999998</v>
      </c>
      <c r="S53" s="2"/>
      <c r="T53" s="332"/>
      <c r="U53" s="307"/>
      <c r="V53" s="305">
        <v>0.3216</v>
      </c>
      <c r="W53" s="276"/>
    </row>
    <row r="54" spans="1:23" ht="24" hidden="1" thickBot="1" x14ac:dyDescent="0.5">
      <c r="A54" s="2"/>
      <c r="B54" s="301"/>
      <c r="C54" s="306"/>
      <c r="D54" s="298"/>
      <c r="E54" s="301"/>
      <c r="F54" s="334">
        <f>F55*D53</f>
        <v>487052.66978357558</v>
      </c>
      <c r="G54" s="2"/>
      <c r="H54" s="301"/>
      <c r="I54" s="307"/>
      <c r="J54" s="308"/>
      <c r="K54" s="312"/>
      <c r="L54" s="312"/>
      <c r="M54" s="301"/>
      <c r="N54" s="307"/>
      <c r="O54" s="318"/>
      <c r="P54" s="318"/>
      <c r="Q54" s="318"/>
      <c r="R54" s="308"/>
      <c r="S54" s="2"/>
      <c r="T54" s="329" t="s">
        <v>112</v>
      </c>
      <c r="U54" s="292">
        <f>U50/V51</f>
        <v>288843.95710495283</v>
      </c>
      <c r="V54" s="308"/>
      <c r="W54" s="276"/>
    </row>
    <row r="55" spans="1:23" ht="47.4" hidden="1" thickBot="1" x14ac:dyDescent="0.5">
      <c r="A55" s="61"/>
      <c r="B55" s="291" t="s">
        <v>112</v>
      </c>
      <c r="C55" s="292">
        <f>C51/D51</f>
        <v>1288499.1264115756</v>
      </c>
      <c r="D55" s="309">
        <f>SUM(D51:D53)</f>
        <v>1</v>
      </c>
      <c r="E55" s="291" t="s">
        <v>112</v>
      </c>
      <c r="F55" s="292">
        <f>F51/F52</f>
        <v>1288499.1264115756</v>
      </c>
      <c r="G55" s="2"/>
      <c r="H55" s="291" t="s">
        <v>112</v>
      </c>
      <c r="I55" s="310">
        <f>I51/J51</f>
        <v>1102659.0555204048</v>
      </c>
      <c r="J55" s="311">
        <f>SUM(J51:J53)</f>
        <v>1</v>
      </c>
      <c r="K55" s="49"/>
      <c r="L55" s="49"/>
      <c r="M55" s="291" t="s">
        <v>112</v>
      </c>
      <c r="N55" s="310">
        <f>N51/R51</f>
        <v>1146691.90127437</v>
      </c>
      <c r="O55" s="7"/>
      <c r="P55" s="7"/>
      <c r="Q55" s="7"/>
      <c r="R55" s="311">
        <f>SUM(R51:R53)</f>
        <v>1</v>
      </c>
      <c r="S55" s="2"/>
      <c r="T55" s="325"/>
      <c r="U55" s="283"/>
      <c r="V55" s="311">
        <f>SUM(V51:V53)</f>
        <v>1</v>
      </c>
      <c r="W55" s="276"/>
    </row>
    <row r="56" spans="1:23" ht="70.8" hidden="1" thickBot="1" x14ac:dyDescent="0.5">
      <c r="A56" s="2"/>
      <c r="B56" s="282"/>
      <c r="C56" s="283"/>
      <c r="D56" s="7"/>
      <c r="E56" s="282"/>
      <c r="F56" s="283"/>
      <c r="G56" s="2"/>
      <c r="H56" s="282"/>
      <c r="I56" s="283"/>
      <c r="J56" s="2"/>
      <c r="K56" s="2"/>
      <c r="L56" s="2"/>
      <c r="M56" s="282"/>
      <c r="N56" s="283"/>
      <c r="O56" s="43"/>
      <c r="P56" s="43"/>
      <c r="Q56" s="43"/>
      <c r="R56" s="2"/>
      <c r="S56" s="2"/>
      <c r="T56" s="284" t="s">
        <v>113</v>
      </c>
      <c r="U56" s="293">
        <f>U54</f>
        <v>288843.95710495283</v>
      </c>
      <c r="V56" s="2"/>
      <c r="W56" s="276"/>
    </row>
    <row r="57" spans="1:23" ht="70.2" hidden="1" x14ac:dyDescent="0.45">
      <c r="A57" s="2"/>
      <c r="B57" s="284" t="s">
        <v>113</v>
      </c>
      <c r="C57" s="293">
        <f>C55</f>
        <v>1288499.1264115756</v>
      </c>
      <c r="D57" s="2"/>
      <c r="E57" s="284" t="s">
        <v>113</v>
      </c>
      <c r="F57" s="293">
        <f>F55</f>
        <v>1288499.1264115756</v>
      </c>
      <c r="G57" s="2"/>
      <c r="H57" s="284" t="s">
        <v>113</v>
      </c>
      <c r="I57" s="293">
        <f>I55</f>
        <v>1102659.0555204048</v>
      </c>
      <c r="J57" s="2"/>
      <c r="K57" s="2"/>
      <c r="L57" s="2"/>
      <c r="M57" s="284" t="s">
        <v>113</v>
      </c>
      <c r="N57" s="293">
        <f>N55</f>
        <v>1146691.90127437</v>
      </c>
      <c r="O57" s="28"/>
      <c r="P57" s="28"/>
      <c r="Q57" s="28"/>
      <c r="R57" s="2"/>
      <c r="S57" s="2"/>
      <c r="T57" s="286" t="s">
        <v>114</v>
      </c>
      <c r="U57" s="313">
        <f>7729/2</f>
        <v>3864.5</v>
      </c>
      <c r="V57" s="2"/>
      <c r="W57" s="276"/>
    </row>
    <row r="58" spans="1:23" ht="47.4" hidden="1" thickBot="1" x14ac:dyDescent="0.5">
      <c r="A58" s="2"/>
      <c r="B58" s="286" t="s">
        <v>114</v>
      </c>
      <c r="C58" s="313">
        <v>17666</v>
      </c>
      <c r="D58" s="58"/>
      <c r="E58" s="286" t="s">
        <v>127</v>
      </c>
      <c r="F58" s="313">
        <v>17666</v>
      </c>
      <c r="G58" s="58"/>
      <c r="H58" s="286" t="s">
        <v>114</v>
      </c>
      <c r="I58" s="314">
        <v>18262</v>
      </c>
      <c r="J58" s="2"/>
      <c r="K58" s="2"/>
      <c r="L58" s="2"/>
      <c r="M58" s="286" t="s">
        <v>114</v>
      </c>
      <c r="N58" s="314">
        <v>18262</v>
      </c>
      <c r="O58" s="43"/>
      <c r="P58" s="43"/>
      <c r="Q58" s="43"/>
      <c r="R58" s="2"/>
      <c r="S58" s="2"/>
      <c r="T58" s="291" t="s">
        <v>115</v>
      </c>
      <c r="U58" s="292">
        <f>U56/U57</f>
        <v>74.742905189533658</v>
      </c>
      <c r="V58" s="2"/>
      <c r="W58" s="276"/>
    </row>
    <row r="59" spans="1:23" ht="51" hidden="1" customHeight="1" thickBot="1" x14ac:dyDescent="0.5">
      <c r="A59" s="2"/>
      <c r="B59" s="291" t="s">
        <v>115</v>
      </c>
      <c r="C59" s="292">
        <f>C57/C58</f>
        <v>72.936665142736075</v>
      </c>
      <c r="D59" s="58"/>
      <c r="E59" s="301" t="s">
        <v>128</v>
      </c>
      <c r="F59" s="313">
        <f>F58*(1-5.96%)</f>
        <v>16613.106400000001</v>
      </c>
      <c r="G59" s="58"/>
      <c r="H59" s="291" t="s">
        <v>115</v>
      </c>
      <c r="I59" s="292">
        <f>I57/I58</f>
        <v>60.379972375446549</v>
      </c>
      <c r="J59" s="2"/>
      <c r="K59" s="2"/>
      <c r="L59" s="2"/>
      <c r="M59" s="291" t="s">
        <v>115</v>
      </c>
      <c r="N59" s="292">
        <f>N57/N58</f>
        <v>62.791145617915348</v>
      </c>
      <c r="O59" s="37"/>
      <c r="P59" s="37"/>
      <c r="Q59" s="37"/>
      <c r="R59" s="2"/>
      <c r="S59" s="2"/>
      <c r="T59" s="315" t="s">
        <v>116</v>
      </c>
      <c r="U59" s="316">
        <f>U58*1.0596</f>
        <v>79.197582338829875</v>
      </c>
      <c r="V59" s="335"/>
      <c r="W59" s="276"/>
    </row>
    <row r="60" spans="1:23" ht="47.4" hidden="1" thickBot="1" x14ac:dyDescent="0.5">
      <c r="A60" s="2"/>
      <c r="B60" s="315" t="s">
        <v>116</v>
      </c>
      <c r="C60" s="316">
        <f>C59*1.0596</f>
        <v>77.283690385243148</v>
      </c>
      <c r="D60" s="58"/>
      <c r="E60" s="301"/>
      <c r="F60" s="313"/>
      <c r="G60" s="58"/>
      <c r="H60" s="315" t="s">
        <v>116</v>
      </c>
      <c r="I60" s="316">
        <f>I59*1.0596</f>
        <v>63.978618729023168</v>
      </c>
      <c r="J60" s="2"/>
      <c r="K60" s="2"/>
      <c r="L60" s="2"/>
      <c r="M60" s="315" t="s">
        <v>116</v>
      </c>
      <c r="N60" s="316">
        <f>N59*1.0596</f>
        <v>66.533497896743114</v>
      </c>
      <c r="O60" s="43"/>
      <c r="P60" s="43"/>
      <c r="Q60" s="43"/>
      <c r="R60" s="2"/>
      <c r="S60" s="2"/>
      <c r="T60" s="317" t="s">
        <v>117</v>
      </c>
      <c r="U60" s="318">
        <f>U59*1.0207</f>
        <v>80.836972293243647</v>
      </c>
      <c r="V60" s="2"/>
      <c r="W60" s="276"/>
    </row>
    <row r="61" spans="1:23" ht="47.4" hidden="1" thickBot="1" x14ac:dyDescent="0.5">
      <c r="A61" s="2"/>
      <c r="B61" s="317" t="s">
        <v>117</v>
      </c>
      <c r="C61" s="318">
        <f>C60*1.0207</f>
        <v>78.883462776217669</v>
      </c>
      <c r="D61" s="336"/>
      <c r="E61" s="291" t="s">
        <v>115</v>
      </c>
      <c r="F61" s="292">
        <f>F57/F59</f>
        <v>77.559193048422031</v>
      </c>
      <c r="G61" s="336"/>
      <c r="H61" s="317" t="s">
        <v>117</v>
      </c>
      <c r="I61" s="318">
        <f>I60*1.0207</f>
        <v>65.302976136713937</v>
      </c>
      <c r="J61" s="2"/>
      <c r="K61" s="2"/>
      <c r="L61" s="2"/>
      <c r="M61" s="317" t="s">
        <v>117</v>
      </c>
      <c r="N61" s="318">
        <f>N60*1.0207</f>
        <v>67.910741303205697</v>
      </c>
      <c r="O61" s="7"/>
      <c r="P61" s="7"/>
      <c r="Q61" s="7"/>
      <c r="R61" s="2"/>
      <c r="S61" s="2"/>
      <c r="T61" s="319" t="s">
        <v>118</v>
      </c>
      <c r="U61" s="54">
        <v>79.42</v>
      </c>
      <c r="V61" s="2"/>
      <c r="W61" s="276"/>
    </row>
    <row r="62" spans="1:23" ht="24" hidden="1" thickBot="1" x14ac:dyDescent="0.5">
      <c r="A62" s="2"/>
      <c r="B62" s="319" t="s">
        <v>118</v>
      </c>
      <c r="C62" s="320">
        <v>66.260000000000005</v>
      </c>
      <c r="D62" s="58"/>
      <c r="E62" s="317" t="s">
        <v>117</v>
      </c>
      <c r="F62" s="318">
        <f>F61*1.0207</f>
        <v>79.164668344524358</v>
      </c>
      <c r="G62" s="58"/>
      <c r="H62" s="319" t="s">
        <v>118</v>
      </c>
      <c r="I62" s="320">
        <v>66.260000000000005</v>
      </c>
      <c r="J62" s="2"/>
      <c r="K62" s="2"/>
      <c r="L62" s="2"/>
      <c r="M62" s="319" t="s">
        <v>118</v>
      </c>
      <c r="N62" s="320">
        <v>66.260000000000005</v>
      </c>
      <c r="O62" s="7"/>
      <c r="P62" s="7"/>
      <c r="Q62" s="7"/>
      <c r="R62" s="2"/>
      <c r="S62" s="2"/>
      <c r="T62" s="319" t="s">
        <v>85</v>
      </c>
      <c r="U62" s="54">
        <v>81.010000000000005</v>
      </c>
      <c r="V62" s="2"/>
      <c r="W62" s="276"/>
    </row>
    <row r="63" spans="1:23" ht="24" thickBot="1" x14ac:dyDescent="0.5">
      <c r="A63" s="2"/>
      <c r="B63" s="319" t="s">
        <v>85</v>
      </c>
      <c r="C63" s="320">
        <v>67.59</v>
      </c>
      <c r="D63" s="2"/>
      <c r="E63" s="319" t="s">
        <v>118</v>
      </c>
      <c r="F63" s="320">
        <v>66.260000000000005</v>
      </c>
      <c r="G63" s="2"/>
      <c r="H63" s="319" t="s">
        <v>85</v>
      </c>
      <c r="I63" s="320">
        <v>67.59</v>
      </c>
      <c r="J63" s="2"/>
      <c r="K63" s="2"/>
      <c r="L63" s="2"/>
      <c r="M63" s="319" t="s">
        <v>85</v>
      </c>
      <c r="N63" s="320">
        <v>67.59</v>
      </c>
      <c r="O63" s="2"/>
      <c r="P63" s="2"/>
      <c r="Q63" s="2"/>
      <c r="R63" s="2"/>
      <c r="S63" s="2"/>
      <c r="T63" s="2"/>
      <c r="U63" s="2"/>
      <c r="V63" s="2"/>
    </row>
    <row r="64" spans="1:23" ht="24" thickBot="1" x14ac:dyDescent="0.5">
      <c r="A64" s="2"/>
      <c r="B64" s="2"/>
      <c r="C64" s="2"/>
      <c r="D64" s="2"/>
      <c r="E64" s="319" t="s">
        <v>85</v>
      </c>
      <c r="F64" s="320">
        <v>67.59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V64" s="2"/>
    </row>
    <row r="65" spans="13:18" ht="23.4" x14ac:dyDescent="0.45">
      <c r="M65" s="2"/>
      <c r="N65" s="2"/>
      <c r="O65" s="2"/>
      <c r="P65" s="2"/>
      <c r="Q65" s="2"/>
      <c r="R65" s="2"/>
    </row>
    <row r="66" spans="13:18" ht="23.4" x14ac:dyDescent="0.45">
      <c r="M66" s="2"/>
      <c r="N66" s="2"/>
      <c r="O66" s="2"/>
      <c r="P66" s="2"/>
      <c r="Q66" s="2"/>
      <c r="R66" s="2"/>
    </row>
    <row r="67" spans="13:18" ht="23.4" x14ac:dyDescent="0.45">
      <c r="M67" s="2"/>
      <c r="N67" s="2"/>
      <c r="O67" s="2"/>
      <c r="P67" s="2"/>
      <c r="Q67" s="2"/>
      <c r="R67" s="2"/>
    </row>
    <row r="68" spans="13:18" ht="23.4" x14ac:dyDescent="0.45">
      <c r="M68" s="2"/>
      <c r="N68" s="2"/>
      <c r="O68" s="2"/>
      <c r="P68" s="2"/>
      <c r="Q68" s="2"/>
      <c r="R68" s="2"/>
    </row>
    <row r="69" spans="13:18" ht="23.4" x14ac:dyDescent="0.45">
      <c r="M69" s="2"/>
      <c r="N69" s="2"/>
      <c r="O69" s="2"/>
      <c r="P69" s="2"/>
      <c r="Q69" s="2"/>
      <c r="R69" s="2"/>
    </row>
    <row r="70" spans="13:18" ht="23.4" x14ac:dyDescent="0.45">
      <c r="M70" s="2"/>
      <c r="N70" s="2"/>
      <c r="O70" s="2"/>
      <c r="P70" s="2"/>
      <c r="Q70" s="2"/>
      <c r="R70" s="2"/>
    </row>
    <row r="71" spans="13:18" ht="23.4" x14ac:dyDescent="0.45">
      <c r="M71" s="2"/>
      <c r="N71" s="2"/>
      <c r="O71" s="2"/>
      <c r="P71" s="2"/>
      <c r="Q71" s="2"/>
      <c r="R71" s="2"/>
    </row>
    <row r="72" spans="13:18" ht="23.4" x14ac:dyDescent="0.45">
      <c r="M72" s="2"/>
      <c r="N72" s="2"/>
      <c r="O72" s="2"/>
      <c r="P72" s="2"/>
      <c r="Q72" s="2"/>
      <c r="R72" s="2"/>
    </row>
    <row r="73" spans="13:18" ht="23.4" x14ac:dyDescent="0.45">
      <c r="M73" s="2"/>
      <c r="N73" s="2"/>
      <c r="O73" s="2"/>
      <c r="P73" s="2"/>
      <c r="Q73" s="2"/>
      <c r="R73" s="2"/>
    </row>
    <row r="74" spans="13:18" ht="23.4" x14ac:dyDescent="0.45">
      <c r="M74" s="2"/>
      <c r="N74" s="2"/>
      <c r="O74" s="2"/>
      <c r="P74" s="2"/>
      <c r="Q74" s="2"/>
      <c r="R74" s="2"/>
    </row>
    <row r="75" spans="13:18" ht="23.4" x14ac:dyDescent="0.45">
      <c r="M75" s="2"/>
      <c r="N75" s="2"/>
      <c r="O75" s="2"/>
      <c r="P75" s="2"/>
      <c r="Q75" s="2"/>
      <c r="R75" s="2"/>
    </row>
    <row r="76" spans="13:18" ht="23.4" x14ac:dyDescent="0.45">
      <c r="M76" s="2"/>
      <c r="N76" s="2"/>
      <c r="O76" s="49"/>
      <c r="P76" s="49"/>
      <c r="Q76" s="49"/>
      <c r="R76" s="2"/>
    </row>
    <row r="77" spans="13:18" ht="23.4" x14ac:dyDescent="0.45">
      <c r="M77" s="49"/>
      <c r="N77" s="49"/>
      <c r="O77" s="7"/>
      <c r="P77" s="7"/>
      <c r="Q77" s="7"/>
      <c r="R77" s="49"/>
    </row>
    <row r="78" spans="13:18" ht="23.4" x14ac:dyDescent="0.45">
      <c r="M78" s="7"/>
      <c r="N78" s="7"/>
      <c r="O78" s="49"/>
      <c r="P78" s="49"/>
      <c r="Q78" s="49"/>
      <c r="R78" s="7"/>
    </row>
    <row r="79" spans="13:18" ht="23.4" x14ac:dyDescent="0.45">
      <c r="M79" s="49"/>
      <c r="N79" s="49"/>
      <c r="O79" s="312"/>
      <c r="P79" s="312"/>
      <c r="Q79" s="312"/>
      <c r="R79" s="49"/>
    </row>
    <row r="80" spans="13:18" ht="23.4" x14ac:dyDescent="0.45">
      <c r="M80" s="312"/>
      <c r="N80" s="312"/>
      <c r="O80" s="49"/>
      <c r="P80" s="49"/>
      <c r="Q80" s="49"/>
      <c r="R80" s="312"/>
    </row>
    <row r="81" spans="13:18" ht="23.4" x14ac:dyDescent="0.45">
      <c r="M81" s="49"/>
      <c r="N81" s="49"/>
      <c r="O81" s="2"/>
      <c r="P81" s="2"/>
      <c r="Q81" s="2"/>
      <c r="R81" s="49"/>
    </row>
    <row r="82" spans="13:18" ht="23.4" x14ac:dyDescent="0.45">
      <c r="M82" s="2"/>
      <c r="N82" s="2"/>
      <c r="O82" s="2"/>
      <c r="P82" s="2"/>
      <c r="Q82" s="2"/>
      <c r="R82" s="2"/>
    </row>
    <row r="83" spans="13:18" ht="23.4" x14ac:dyDescent="0.45">
      <c r="M83" s="2"/>
      <c r="N83" s="2"/>
      <c r="O83" s="2"/>
      <c r="P83" s="2"/>
      <c r="Q83" s="2"/>
      <c r="R83" s="2"/>
    </row>
    <row r="84" spans="13:18" ht="23.4" x14ac:dyDescent="0.45">
      <c r="M84" s="2"/>
      <c r="N84" s="2"/>
      <c r="O84" s="2"/>
      <c r="P84" s="2"/>
      <c r="Q84" s="2"/>
      <c r="R84" s="2"/>
    </row>
    <row r="85" spans="13:18" ht="23.4" x14ac:dyDescent="0.45">
      <c r="M85" s="2"/>
      <c r="N85" s="2"/>
      <c r="O85" s="2"/>
      <c r="P85" s="2"/>
      <c r="Q85" s="2"/>
      <c r="R85" s="2"/>
    </row>
    <row r="86" spans="13:18" ht="23.4" x14ac:dyDescent="0.45">
      <c r="M86" s="2"/>
      <c r="N86" s="2"/>
      <c r="O86" s="2"/>
      <c r="P86" s="2"/>
      <c r="Q86" s="2"/>
      <c r="R86" s="2"/>
    </row>
    <row r="87" spans="13:18" ht="23.4" x14ac:dyDescent="0.45">
      <c r="M87" s="2"/>
      <c r="N87" s="2"/>
      <c r="O87" s="2"/>
      <c r="P87" s="2"/>
      <c r="Q87" s="2"/>
      <c r="R87" s="2"/>
    </row>
    <row r="88" spans="13:18" ht="23.4" x14ac:dyDescent="0.45">
      <c r="M88" s="2"/>
      <c r="N88" s="2"/>
      <c r="O88" s="2"/>
      <c r="P88" s="2"/>
      <c r="Q88" s="2"/>
      <c r="R88" s="2"/>
    </row>
    <row r="89" spans="13:18" ht="23.4" x14ac:dyDescent="0.45">
      <c r="M89" s="2"/>
      <c r="N89" s="2"/>
      <c r="O89" s="2"/>
      <c r="P89" s="2"/>
      <c r="Q89" s="2"/>
      <c r="R89" s="2"/>
    </row>
    <row r="90" spans="13:18" ht="23.4" x14ac:dyDescent="0.45">
      <c r="M90" s="2"/>
      <c r="N90" s="2"/>
      <c r="R90" s="2"/>
    </row>
  </sheetData>
  <mergeCells count="15">
    <mergeCell ref="H4:I5"/>
    <mergeCell ref="S4:T5"/>
    <mergeCell ref="B6:B8"/>
    <mergeCell ref="H6:H8"/>
    <mergeCell ref="L6:L8"/>
    <mergeCell ref="O6:O8"/>
    <mergeCell ref="S6:S8"/>
    <mergeCell ref="W6:W8"/>
    <mergeCell ref="U29:U30"/>
    <mergeCell ref="T38:T40"/>
    <mergeCell ref="U38:U40"/>
    <mergeCell ref="B39:B41"/>
    <mergeCell ref="E39:E41"/>
    <mergeCell ref="H39:H41"/>
    <mergeCell ref="M39:M41"/>
  </mergeCells>
  <printOptions headings="1" gridLines="1"/>
  <pageMargins left="0.25" right="0.25" top="0.75" bottom="0.75" header="0.3" footer="0.3"/>
  <pageSetup scale="45" orientation="landscape" r:id="rId1"/>
  <headerFooter>
    <oddFooter>&amp;L&amp;Z&amp;F&amp;C
&amp;P of &amp;N
&amp;R&amp;D</oddFooter>
  </headerFooter>
  <colBreaks count="1" manualBreakCount="1">
    <brk id="1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B15D-ABCD-4AF3-96B8-350EE2D9BFE0}">
  <dimension ref="A1:AB74"/>
  <sheetViews>
    <sheetView view="pageBreakPreview" topLeftCell="A19" zoomScale="55" zoomScaleNormal="50" zoomScaleSheetLayoutView="55" workbookViewId="0">
      <selection activeCell="N28" sqref="N28"/>
    </sheetView>
  </sheetViews>
  <sheetFormatPr defaultRowHeight="14.4" x14ac:dyDescent="0.3"/>
  <cols>
    <col min="1" max="1" width="9.109375" customWidth="1"/>
    <col min="2" max="2" width="65.109375" bestFit="1" customWidth="1"/>
    <col min="3" max="5" width="22" bestFit="1" customWidth="1"/>
    <col min="6" max="6" width="24.44140625" bestFit="1" customWidth="1"/>
    <col min="7" max="7" width="21.88671875" bestFit="1" customWidth="1"/>
    <col min="8" max="8" width="24.44140625" bestFit="1" customWidth="1"/>
    <col min="9" max="10" width="24.44140625" customWidth="1"/>
    <col min="11" max="11" width="24.44140625" bestFit="1" customWidth="1"/>
    <col min="12" max="12" width="21.88671875" bestFit="1" customWidth="1"/>
    <col min="13" max="13" width="21.88671875" customWidth="1"/>
    <col min="14" max="15" width="24.44140625" bestFit="1" customWidth="1"/>
    <col min="16" max="16" width="10.109375" style="647" customWidth="1"/>
    <col min="17" max="18" width="21.88671875" customWidth="1"/>
    <col min="19" max="20" width="24.44140625" bestFit="1" customWidth="1"/>
    <col min="21" max="21" width="5.88671875" customWidth="1"/>
    <col min="22" max="24" width="23.88671875" bestFit="1" customWidth="1"/>
    <col min="25" max="25" width="22.6640625" bestFit="1" customWidth="1"/>
    <col min="26" max="26" width="13.44140625" bestFit="1" customWidth="1"/>
    <col min="27" max="27" width="12.33203125" bestFit="1" customWidth="1"/>
  </cols>
  <sheetData>
    <row r="1" spans="1:28" ht="23.4" x14ac:dyDescent="0.45">
      <c r="A1" s="75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7"/>
      <c r="Q1" s="2"/>
      <c r="R1" s="2"/>
      <c r="S1" s="2"/>
      <c r="T1" s="2"/>
      <c r="U1" s="76"/>
    </row>
    <row r="2" spans="1:28" ht="24" thickBot="1" x14ac:dyDescent="0.5">
      <c r="A2" s="75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7"/>
      <c r="Q2" s="2"/>
      <c r="R2" s="2"/>
      <c r="S2" s="2"/>
      <c r="T2" s="2"/>
      <c r="U2" s="78"/>
    </row>
    <row r="3" spans="1:28" ht="24" thickBot="1" x14ac:dyDescent="0.5">
      <c r="A3" s="76"/>
      <c r="B3" s="338" t="s">
        <v>52</v>
      </c>
      <c r="C3" s="339" t="s">
        <v>54</v>
      </c>
      <c r="D3" s="339" t="s">
        <v>39</v>
      </c>
      <c r="E3" s="339" t="s">
        <v>43</v>
      </c>
      <c r="F3" s="339" t="s">
        <v>42</v>
      </c>
      <c r="G3" s="339" t="s">
        <v>44</v>
      </c>
      <c r="H3" s="340" t="s">
        <v>45</v>
      </c>
      <c r="I3" s="341" t="s">
        <v>131</v>
      </c>
      <c r="J3" s="342" t="s">
        <v>48</v>
      </c>
      <c r="K3" s="343" t="s">
        <v>47</v>
      </c>
      <c r="L3" s="339" t="s">
        <v>53</v>
      </c>
      <c r="M3" s="340" t="s">
        <v>40</v>
      </c>
      <c r="N3" s="344" t="s">
        <v>55</v>
      </c>
      <c r="O3" s="345" t="s">
        <v>48</v>
      </c>
      <c r="P3" s="346"/>
      <c r="Q3" s="339" t="s">
        <v>41</v>
      </c>
      <c r="R3" s="339" t="s">
        <v>46</v>
      </c>
      <c r="S3" s="347" t="s">
        <v>55</v>
      </c>
      <c r="T3" s="348" t="s">
        <v>48</v>
      </c>
      <c r="U3" s="86"/>
      <c r="AB3" s="87" t="s">
        <v>56</v>
      </c>
    </row>
    <row r="4" spans="1:28" ht="23.4" x14ac:dyDescent="0.45">
      <c r="A4" s="76"/>
      <c r="B4" s="349" t="s">
        <v>132</v>
      </c>
      <c r="C4" s="350"/>
      <c r="D4" s="350"/>
      <c r="E4" s="350"/>
      <c r="F4" s="350"/>
      <c r="G4" s="350"/>
      <c r="H4" s="351"/>
      <c r="I4" s="352"/>
      <c r="J4" s="353"/>
      <c r="K4" s="354"/>
      <c r="L4" s="350"/>
      <c r="M4" s="351"/>
      <c r="N4" s="355"/>
      <c r="O4" s="356"/>
      <c r="P4" s="357"/>
      <c r="Q4" s="350"/>
      <c r="R4" s="350"/>
      <c r="S4" s="358"/>
      <c r="T4" s="358"/>
      <c r="U4" s="93"/>
    </row>
    <row r="5" spans="1:28" ht="24" thickBot="1" x14ac:dyDescent="0.5">
      <c r="A5" s="76"/>
      <c r="B5" s="359"/>
      <c r="C5" s="360"/>
      <c r="D5" s="360"/>
      <c r="E5" s="360"/>
      <c r="F5" s="360"/>
      <c r="G5" s="360"/>
      <c r="H5" s="360"/>
      <c r="I5" s="359"/>
      <c r="J5" s="361"/>
      <c r="K5" s="360"/>
      <c r="L5" s="360"/>
      <c r="M5" s="360"/>
      <c r="N5" s="362"/>
      <c r="O5" s="361"/>
      <c r="P5" s="363"/>
      <c r="Q5" s="360"/>
      <c r="R5" s="360"/>
      <c r="S5" s="364"/>
      <c r="T5" s="364"/>
      <c r="U5" s="93"/>
    </row>
    <row r="6" spans="1:28" ht="47.4" thickBot="1" x14ac:dyDescent="0.5">
      <c r="A6" s="76" t="s">
        <v>58</v>
      </c>
      <c r="B6" s="365" t="s">
        <v>99</v>
      </c>
      <c r="C6" s="366">
        <v>373938</v>
      </c>
      <c r="D6" s="366">
        <v>307700</v>
      </c>
      <c r="E6" s="366">
        <v>50576</v>
      </c>
      <c r="F6" s="366">
        <v>960558</v>
      </c>
      <c r="G6" s="366">
        <v>462424</v>
      </c>
      <c r="H6" s="367">
        <v>1921666</v>
      </c>
      <c r="I6" s="368">
        <f>SUM(C6:H6)</f>
        <v>4076862</v>
      </c>
      <c r="J6" s="369">
        <f>AVERAGE(C6:H6)</f>
        <v>679477</v>
      </c>
      <c r="K6" s="370">
        <v>1270670</v>
      </c>
      <c r="L6" s="366">
        <v>521492</v>
      </c>
      <c r="M6" s="367">
        <v>248350</v>
      </c>
      <c r="N6" s="371">
        <f>SUM(K6:M6)</f>
        <v>2040512</v>
      </c>
      <c r="O6" s="372">
        <f t="shared" ref="O6:O12" si="0">AVERAGE(K6:M6)</f>
        <v>680170.66666666663</v>
      </c>
      <c r="P6" s="373"/>
      <c r="Q6" s="366">
        <v>257391</v>
      </c>
      <c r="R6" s="366">
        <v>72772</v>
      </c>
      <c r="S6" s="374">
        <f>SUM(Q6:R6)</f>
        <v>330163</v>
      </c>
      <c r="T6" s="372">
        <f t="shared" ref="T6:T12" si="1">AVERAGE(Q6:R6)</f>
        <v>165081.5</v>
      </c>
      <c r="U6" s="93"/>
      <c r="V6" s="375"/>
      <c r="W6" s="375"/>
      <c r="X6" s="376"/>
      <c r="Y6" s="376"/>
    </row>
    <row r="7" spans="1:28" ht="23.4" x14ac:dyDescent="0.45">
      <c r="A7" s="76" t="s">
        <v>60</v>
      </c>
      <c r="B7" s="365" t="s">
        <v>133</v>
      </c>
      <c r="C7" s="377">
        <v>377415</v>
      </c>
      <c r="D7" s="377">
        <v>363861</v>
      </c>
      <c r="E7" s="377">
        <v>69077</v>
      </c>
      <c r="F7" s="377">
        <v>1136301</v>
      </c>
      <c r="G7" s="377">
        <v>544990</v>
      </c>
      <c r="H7" s="378">
        <v>1921666</v>
      </c>
      <c r="I7" s="368">
        <f>SUM(C7:H7)</f>
        <v>4413310</v>
      </c>
      <c r="J7" s="379">
        <f>AVERAGE(C7:H7)</f>
        <v>735551.66666666663</v>
      </c>
      <c r="K7" s="380">
        <v>1402745</v>
      </c>
      <c r="L7" s="377">
        <v>559629</v>
      </c>
      <c r="M7" s="378">
        <v>286082</v>
      </c>
      <c r="N7" s="381">
        <f>SUM(K7:M7)</f>
        <v>2248456</v>
      </c>
      <c r="O7" s="382">
        <f t="shared" si="0"/>
        <v>749485.33333333337</v>
      </c>
      <c r="P7" s="383"/>
      <c r="Q7" s="377">
        <v>257391</v>
      </c>
      <c r="R7" s="377">
        <v>82120</v>
      </c>
      <c r="S7" s="374">
        <f>SUM(Q7:R7)</f>
        <v>339511</v>
      </c>
      <c r="T7" s="384">
        <f t="shared" si="1"/>
        <v>169755.5</v>
      </c>
      <c r="U7" s="93"/>
      <c r="V7" s="375"/>
      <c r="W7" s="375"/>
      <c r="X7" s="376"/>
      <c r="Y7" s="376"/>
    </row>
    <row r="8" spans="1:28" ht="24" thickBot="1" x14ac:dyDescent="0.5">
      <c r="A8" s="76"/>
      <c r="B8" s="385" t="s">
        <v>62</v>
      </c>
      <c r="C8" s="386">
        <f t="shared" ref="C8:R8" si="2">C6/C7</f>
        <v>0.9907873295973928</v>
      </c>
      <c r="D8" s="386">
        <f t="shared" si="2"/>
        <v>0.84565259810751903</v>
      </c>
      <c r="E8" s="386">
        <f t="shared" si="2"/>
        <v>0.73216844970105821</v>
      </c>
      <c r="F8" s="386">
        <f t="shared" si="2"/>
        <v>0.84533763501044179</v>
      </c>
      <c r="G8" s="386">
        <f t="shared" si="2"/>
        <v>0.84849997247655917</v>
      </c>
      <c r="H8" s="387">
        <f t="shared" si="2"/>
        <v>1</v>
      </c>
      <c r="I8" s="388"/>
      <c r="J8" s="389"/>
      <c r="K8" s="390">
        <f>K6/K7</f>
        <v>0.90584532470263657</v>
      </c>
      <c r="L8" s="386">
        <f>L6/L7</f>
        <v>0.93185306694256376</v>
      </c>
      <c r="M8" s="387">
        <f>M6/M7</f>
        <v>0.86810774533175805</v>
      </c>
      <c r="N8" s="391"/>
      <c r="O8" s="392">
        <f t="shared" si="0"/>
        <v>0.90193537899231957</v>
      </c>
      <c r="P8" s="383"/>
      <c r="Q8" s="386">
        <f t="shared" si="2"/>
        <v>1</v>
      </c>
      <c r="R8" s="386">
        <f t="shared" si="2"/>
        <v>0.88616658548465665</v>
      </c>
      <c r="S8" s="393"/>
      <c r="T8" s="393">
        <f t="shared" si="1"/>
        <v>0.94308329274232827</v>
      </c>
      <c r="U8" s="93"/>
    </row>
    <row r="9" spans="1:28" ht="23.4" x14ac:dyDescent="0.45">
      <c r="A9" s="76" t="s">
        <v>63</v>
      </c>
      <c r="B9" s="394" t="s">
        <v>134</v>
      </c>
      <c r="C9" s="395">
        <v>108147</v>
      </c>
      <c r="D9" s="395">
        <v>112972</v>
      </c>
      <c r="E9" s="395">
        <v>22136</v>
      </c>
      <c r="F9" s="395">
        <v>310047</v>
      </c>
      <c r="G9" s="395">
        <v>146547</v>
      </c>
      <c r="H9" s="396">
        <v>399395</v>
      </c>
      <c r="I9" s="397">
        <f>SUM(C9:H9)</f>
        <v>1099244</v>
      </c>
      <c r="J9" s="379">
        <f>AVERAGE(C9:H9)</f>
        <v>183207.33333333334</v>
      </c>
      <c r="K9" s="398">
        <v>251285</v>
      </c>
      <c r="L9" s="395">
        <v>17309</v>
      </c>
      <c r="M9" s="396">
        <v>81810.69</v>
      </c>
      <c r="N9" s="381">
        <f>SUM(K9:M9)</f>
        <v>350404.69</v>
      </c>
      <c r="O9" s="382">
        <f t="shared" si="0"/>
        <v>116801.56333333334</v>
      </c>
      <c r="P9" s="383"/>
      <c r="Q9" s="395">
        <v>84633</v>
      </c>
      <c r="R9" s="395">
        <v>37321</v>
      </c>
      <c r="S9" s="374">
        <f>SUM(Q9:R9)</f>
        <v>121954</v>
      </c>
      <c r="T9" s="384">
        <f t="shared" si="1"/>
        <v>60977</v>
      </c>
      <c r="U9" s="93"/>
      <c r="V9" s="375"/>
      <c r="W9" s="375"/>
      <c r="X9" s="376"/>
      <c r="Y9" s="376"/>
    </row>
    <row r="10" spans="1:28" ht="23.4" x14ac:dyDescent="0.45">
      <c r="A10" s="76"/>
      <c r="B10" s="399" t="s">
        <v>65</v>
      </c>
      <c r="C10" s="400">
        <f>C8*C9</f>
        <v>107150.67733396924</v>
      </c>
      <c r="D10" s="400">
        <f>D8*D9</f>
        <v>95535.065313402636</v>
      </c>
      <c r="E10" s="400">
        <f>E8*E9</f>
        <v>16207.280802582625</v>
      </c>
      <c r="F10" s="400">
        <f>F8*F9</f>
        <v>262094.39772208245</v>
      </c>
      <c r="G10" s="400">
        <f t="shared" ref="G10:H10" si="3">G8*G9</f>
        <v>124345.12546652232</v>
      </c>
      <c r="H10" s="401">
        <f t="shared" si="3"/>
        <v>399395</v>
      </c>
      <c r="I10" s="402">
        <f>SUM(C10:H10)</f>
        <v>1004727.5466385593</v>
      </c>
      <c r="J10" s="379">
        <f>AVERAGE(C10:I10)</f>
        <v>287065.01332530269</v>
      </c>
      <c r="K10" s="403">
        <f>K8*K9</f>
        <v>227625.34241790202</v>
      </c>
      <c r="L10" s="400">
        <f>L8*L9</f>
        <v>16129.444735708836</v>
      </c>
      <c r="M10" s="401">
        <f>M8*M9</f>
        <v>71020.493639935405</v>
      </c>
      <c r="N10" s="381">
        <f>SUM(K10:M10)</f>
        <v>314775.28079354623</v>
      </c>
      <c r="O10" s="382">
        <f t="shared" si="0"/>
        <v>104925.09359784874</v>
      </c>
      <c r="P10" s="383"/>
      <c r="Q10" s="400">
        <f t="shared" ref="Q10:R10" si="4">Q8*Q9</f>
        <v>84633</v>
      </c>
      <c r="R10" s="400">
        <f t="shared" si="4"/>
        <v>33072.62313687287</v>
      </c>
      <c r="S10" s="404"/>
      <c r="T10" s="404">
        <f t="shared" si="1"/>
        <v>58852.811568436431</v>
      </c>
      <c r="U10" s="93"/>
    </row>
    <row r="11" spans="1:28" ht="47.4" thickBot="1" x14ac:dyDescent="0.5">
      <c r="A11" s="76"/>
      <c r="B11" s="394" t="s">
        <v>135</v>
      </c>
      <c r="C11" s="400">
        <f t="shared" ref="C11:H11" si="5">C6+C10</f>
        <v>481088.67733396927</v>
      </c>
      <c r="D11" s="400">
        <f t="shared" si="5"/>
        <v>403235.06531340262</v>
      </c>
      <c r="E11" s="400">
        <f t="shared" si="5"/>
        <v>66783.280802582623</v>
      </c>
      <c r="F11" s="400">
        <f t="shared" si="5"/>
        <v>1222652.3977220824</v>
      </c>
      <c r="G11" s="400">
        <f t="shared" si="5"/>
        <v>586769.1254665223</v>
      </c>
      <c r="H11" s="401">
        <f t="shared" si="5"/>
        <v>2321061</v>
      </c>
      <c r="I11" s="402">
        <f>SUM(C11:H11)</f>
        <v>5081589.5466385596</v>
      </c>
      <c r="J11" s="405"/>
      <c r="K11" s="403">
        <f>K6+K10</f>
        <v>1498295.3424179021</v>
      </c>
      <c r="L11" s="400">
        <f>L6+L10</f>
        <v>537621.44473570888</v>
      </c>
      <c r="M11" s="401">
        <f>M6+M10</f>
        <v>319370.49363993539</v>
      </c>
      <c r="N11" s="381">
        <f>SUM(K11:M11)</f>
        <v>2355287.2807935462</v>
      </c>
      <c r="O11" s="382">
        <f t="shared" si="0"/>
        <v>785095.76026451541</v>
      </c>
      <c r="P11" s="383"/>
      <c r="Q11" s="400">
        <f t="shared" ref="Q11:R11" si="6">Q6+Q10</f>
        <v>342024</v>
      </c>
      <c r="R11" s="400">
        <f t="shared" si="6"/>
        <v>105844.62313687286</v>
      </c>
      <c r="S11" s="404">
        <f>SUM(Q11:R11)</f>
        <v>447868.62313687289</v>
      </c>
      <c r="T11" s="404">
        <f t="shared" si="1"/>
        <v>223934.31156843645</v>
      </c>
      <c r="U11" s="93"/>
      <c r="V11" s="406"/>
      <c r="W11" s="407"/>
      <c r="X11" s="407"/>
    </row>
    <row r="12" spans="1:28" ht="23.4" x14ac:dyDescent="0.45">
      <c r="A12" s="76" t="s">
        <v>68</v>
      </c>
      <c r="B12" s="394" t="s">
        <v>136</v>
      </c>
      <c r="C12" s="395">
        <v>806630</v>
      </c>
      <c r="D12" s="395">
        <v>643674</v>
      </c>
      <c r="E12" s="395">
        <v>154293</v>
      </c>
      <c r="F12" s="395">
        <v>1786417</v>
      </c>
      <c r="G12" s="395">
        <v>942709</v>
      </c>
      <c r="H12" s="396">
        <v>3514222</v>
      </c>
      <c r="I12" s="397">
        <f>SUM(C12:H12)</f>
        <v>7847945</v>
      </c>
      <c r="J12" s="379">
        <f>AVERAGE(C12:H12)</f>
        <v>1307990.8333333333</v>
      </c>
      <c r="K12" s="398">
        <v>2181142</v>
      </c>
      <c r="L12" s="395">
        <v>1008096</v>
      </c>
      <c r="M12" s="396">
        <v>516417</v>
      </c>
      <c r="N12" s="381">
        <f>SUM(K12:M12)</f>
        <v>3705655</v>
      </c>
      <c r="O12" s="382">
        <f t="shared" si="0"/>
        <v>1235218.3333333333</v>
      </c>
      <c r="P12" s="383"/>
      <c r="Q12" s="395">
        <v>444452</v>
      </c>
      <c r="R12" s="395">
        <v>180220</v>
      </c>
      <c r="S12" s="374">
        <f>SUM(Q12:R12)</f>
        <v>624672</v>
      </c>
      <c r="T12" s="384">
        <f t="shared" si="1"/>
        <v>312336</v>
      </c>
      <c r="U12" s="93"/>
      <c r="V12" s="375"/>
      <c r="W12" s="375"/>
      <c r="X12" s="376"/>
      <c r="Y12" s="376"/>
    </row>
    <row r="13" spans="1:28" ht="23.4" x14ac:dyDescent="0.45">
      <c r="A13" s="76"/>
      <c r="B13" s="349"/>
      <c r="C13" s="400"/>
      <c r="D13" s="400"/>
      <c r="E13" s="400"/>
      <c r="F13" s="408"/>
      <c r="G13" s="408"/>
      <c r="H13" s="409"/>
      <c r="I13" s="410"/>
      <c r="J13" s="411"/>
      <c r="K13" s="412"/>
      <c r="L13" s="400"/>
      <c r="M13" s="401"/>
      <c r="N13" s="413"/>
      <c r="O13" s="404"/>
      <c r="P13" s="414"/>
      <c r="Q13" s="400"/>
      <c r="R13" s="400"/>
      <c r="S13" s="415"/>
      <c r="T13" s="415"/>
      <c r="U13" s="93"/>
    </row>
    <row r="14" spans="1:28" ht="23.4" x14ac:dyDescent="0.45">
      <c r="A14" s="115"/>
      <c r="B14" s="349"/>
      <c r="C14" s="416"/>
      <c r="D14" s="416"/>
      <c r="E14" s="416"/>
      <c r="F14" s="416"/>
      <c r="G14" s="416"/>
      <c r="H14" s="417"/>
      <c r="I14" s="418"/>
      <c r="J14" s="419"/>
      <c r="K14" s="420"/>
      <c r="L14" s="416"/>
      <c r="M14" s="417"/>
      <c r="N14" s="421"/>
      <c r="O14" s="422"/>
      <c r="P14" s="423"/>
      <c r="Q14" s="416"/>
      <c r="R14" s="416"/>
      <c r="S14" s="422"/>
      <c r="T14" s="422"/>
      <c r="U14" s="93"/>
    </row>
    <row r="15" spans="1:28" ht="46.8" x14ac:dyDescent="0.45">
      <c r="A15" s="120"/>
      <c r="B15" s="424" t="s">
        <v>137</v>
      </c>
      <c r="C15" s="425">
        <f t="shared" ref="C15:H15" si="7">C11/C12</f>
        <v>0.59641803222539369</v>
      </c>
      <c r="D15" s="425">
        <f t="shared" si="7"/>
        <v>0.62645852607593688</v>
      </c>
      <c r="E15" s="425">
        <f t="shared" si="7"/>
        <v>0.43283415840370348</v>
      </c>
      <c r="F15" s="425">
        <f t="shared" si="7"/>
        <v>0.68441601133558538</v>
      </c>
      <c r="G15" s="425">
        <f t="shared" si="7"/>
        <v>0.62242868739613422</v>
      </c>
      <c r="H15" s="426">
        <f t="shared" si="7"/>
        <v>0.6604764866875229</v>
      </c>
      <c r="I15" s="427"/>
      <c r="J15" s="428">
        <f>AVERAGE(C15:H15)</f>
        <v>0.60383865035404605</v>
      </c>
      <c r="K15" s="429">
        <f>K11/K12</f>
        <v>0.68693159015685457</v>
      </c>
      <c r="L15" s="425">
        <f>L11/L12</f>
        <v>0.53330381703300966</v>
      </c>
      <c r="M15" s="426">
        <f>M11/M12</f>
        <v>0.61843528319155916</v>
      </c>
      <c r="N15" s="430"/>
      <c r="O15" s="431">
        <f>AVERAGE(K15:M15)</f>
        <v>0.61289023012714117</v>
      </c>
      <c r="P15" s="432"/>
      <c r="Q15" s="425">
        <f t="shared" ref="Q15:R15" si="8">Q11/Q12</f>
        <v>0.76954091780439737</v>
      </c>
      <c r="R15" s="425">
        <f t="shared" si="8"/>
        <v>0.58730786337183916</v>
      </c>
      <c r="S15" s="431"/>
      <c r="T15" s="433">
        <f>AVERAGE(Q15:R15)</f>
        <v>0.67842439058811821</v>
      </c>
      <c r="U15" s="93"/>
      <c r="V15" s="253"/>
    </row>
    <row r="16" spans="1:28" ht="23.4" x14ac:dyDescent="0.45">
      <c r="A16" s="115"/>
      <c r="B16" s="434"/>
      <c r="C16" s="435"/>
      <c r="D16" s="435"/>
      <c r="E16" s="435"/>
      <c r="F16" s="435"/>
      <c r="G16" s="435"/>
      <c r="H16" s="436"/>
      <c r="I16" s="437"/>
      <c r="J16" s="438"/>
      <c r="K16" s="439"/>
      <c r="L16" s="435"/>
      <c r="M16" s="436"/>
      <c r="N16" s="440"/>
      <c r="O16" s="441"/>
      <c r="P16" s="442"/>
      <c r="Q16" s="435"/>
      <c r="R16" s="435"/>
      <c r="S16" s="443"/>
      <c r="T16" s="444"/>
      <c r="U16" s="93"/>
      <c r="V16" s="253"/>
    </row>
    <row r="17" spans="1:25" ht="46.8" x14ac:dyDescent="0.45">
      <c r="A17" s="115"/>
      <c r="B17" s="434" t="s">
        <v>138</v>
      </c>
      <c r="C17" s="435">
        <f>C10/C12</f>
        <v>0.13283745624879964</v>
      </c>
      <c r="D17" s="435">
        <f t="shared" ref="D17:M17" si="9">D10/D12</f>
        <v>0.14842150733663723</v>
      </c>
      <c r="E17" s="435">
        <f t="shared" si="9"/>
        <v>0.10504223005957902</v>
      </c>
      <c r="F17" s="435">
        <f t="shared" si="9"/>
        <v>0.14671512738743667</v>
      </c>
      <c r="G17" s="435">
        <f t="shared" si="9"/>
        <v>0.13190191826589365</v>
      </c>
      <c r="H17" s="436">
        <f t="shared" si="9"/>
        <v>0.11365104424250944</v>
      </c>
      <c r="I17" s="437"/>
      <c r="J17" s="445">
        <f>AVERAGE(C17:H17)</f>
        <v>0.12976154725680925</v>
      </c>
      <c r="K17" s="439">
        <f t="shared" si="9"/>
        <v>0.10436062503858164</v>
      </c>
      <c r="L17" s="435">
        <f t="shared" si="9"/>
        <v>1.5999909468650639E-2</v>
      </c>
      <c r="M17" s="435">
        <f t="shared" si="9"/>
        <v>0.13752547580721666</v>
      </c>
      <c r="N17" s="440"/>
      <c r="O17" s="446">
        <f>AVERAGE(K17:M17)</f>
        <v>8.5962003438149637E-2</v>
      </c>
      <c r="P17" s="442"/>
      <c r="Q17" s="435">
        <f t="shared" ref="Q17:R17" si="10">Q10/Q12</f>
        <v>0.19042101284278168</v>
      </c>
      <c r="R17" s="435">
        <f t="shared" si="10"/>
        <v>0.18351250214667</v>
      </c>
      <c r="S17" s="443"/>
      <c r="T17" s="446">
        <f>AVERAGE(Q17:R17)</f>
        <v>0.18696675749472585</v>
      </c>
      <c r="U17" s="93"/>
      <c r="V17" s="253"/>
    </row>
    <row r="18" spans="1:25" ht="24" thickBot="1" x14ac:dyDescent="0.5">
      <c r="A18" s="115"/>
      <c r="B18" s="447"/>
      <c r="C18" s="448"/>
      <c r="D18" s="448"/>
      <c r="E18" s="448"/>
      <c r="F18" s="448"/>
      <c r="G18" s="448"/>
      <c r="H18" s="449"/>
      <c r="I18" s="450"/>
      <c r="J18" s="451"/>
      <c r="K18" s="452"/>
      <c r="L18" s="448"/>
      <c r="M18" s="449"/>
      <c r="N18" s="453"/>
      <c r="O18" s="454"/>
      <c r="P18" s="455"/>
      <c r="Q18" s="448"/>
      <c r="R18" s="448"/>
      <c r="S18" s="456"/>
      <c r="T18" s="457"/>
      <c r="U18" s="93"/>
    </row>
    <row r="19" spans="1:25" ht="22.5" customHeight="1" thickBot="1" x14ac:dyDescent="0.4">
      <c r="A19" s="134"/>
      <c r="B19" s="458" t="s">
        <v>139</v>
      </c>
      <c r="C19" s="459">
        <v>0</v>
      </c>
      <c r="D19" s="459"/>
      <c r="E19" s="459"/>
      <c r="F19" s="459"/>
      <c r="G19" s="459"/>
      <c r="H19" s="460"/>
      <c r="I19" s="461"/>
      <c r="J19" s="462"/>
      <c r="K19" s="463">
        <v>0</v>
      </c>
      <c r="L19" s="459">
        <v>0</v>
      </c>
      <c r="M19" s="460"/>
      <c r="N19" s="464"/>
      <c r="O19" s="465"/>
      <c r="P19" s="466"/>
      <c r="Q19" s="459"/>
      <c r="R19" s="459"/>
      <c r="S19" s="461">
        <f>SUM(C19:H19)</f>
        <v>0</v>
      </c>
      <c r="T19" s="461">
        <f>AVERAGE(C19:H19)</f>
        <v>0</v>
      </c>
      <c r="U19" s="93"/>
    </row>
    <row r="20" spans="1:25" ht="15.75" customHeight="1" thickBot="1" x14ac:dyDescent="0.4">
      <c r="A20" s="134"/>
      <c r="B20" s="467"/>
      <c r="C20" s="468"/>
      <c r="D20" s="468"/>
      <c r="E20" s="468"/>
      <c r="F20" s="468"/>
      <c r="G20" s="468"/>
      <c r="H20" s="469"/>
      <c r="I20" s="470"/>
      <c r="J20" s="471"/>
      <c r="K20" s="472"/>
      <c r="L20" s="468"/>
      <c r="M20" s="469"/>
      <c r="N20" s="473"/>
      <c r="O20" s="474"/>
      <c r="P20" s="475"/>
      <c r="Q20" s="468"/>
      <c r="R20" s="468"/>
      <c r="S20" s="471"/>
      <c r="T20" s="470"/>
      <c r="U20" s="93"/>
    </row>
    <row r="21" spans="1:25" ht="23.25" customHeight="1" thickBot="1" x14ac:dyDescent="0.5">
      <c r="A21" s="134"/>
      <c r="B21" s="476" t="s">
        <v>76</v>
      </c>
      <c r="C21" s="477">
        <f t="shared" ref="C21:M21" si="11">C19+C11</f>
        <v>481088.67733396927</v>
      </c>
      <c r="D21" s="477">
        <f t="shared" si="11"/>
        <v>403235.06531340262</v>
      </c>
      <c r="E21" s="477">
        <f t="shared" si="11"/>
        <v>66783.280802582623</v>
      </c>
      <c r="F21" s="477">
        <f t="shared" si="11"/>
        <v>1222652.3977220824</v>
      </c>
      <c r="G21" s="477">
        <f t="shared" si="11"/>
        <v>586769.1254665223</v>
      </c>
      <c r="H21" s="478">
        <f t="shared" si="11"/>
        <v>2321061</v>
      </c>
      <c r="I21" s="479"/>
      <c r="J21" s="480">
        <f>AVERAGE(C21:H21)</f>
        <v>846931.59110642655</v>
      </c>
      <c r="K21" s="481">
        <f t="shared" si="11"/>
        <v>1498295.3424179021</v>
      </c>
      <c r="L21" s="477">
        <f t="shared" si="11"/>
        <v>537621.44473570888</v>
      </c>
      <c r="M21" s="478">
        <f t="shared" si="11"/>
        <v>319370.49363993539</v>
      </c>
      <c r="N21" s="482"/>
      <c r="O21" s="483">
        <f>AVERAGE(K21:M21)</f>
        <v>785095.76026451541</v>
      </c>
      <c r="P21" s="484"/>
      <c r="Q21" s="477">
        <f>Q19+Q11</f>
        <v>342024</v>
      </c>
      <c r="R21" s="477">
        <f>R19+R11</f>
        <v>105844.62313687286</v>
      </c>
      <c r="S21" s="485">
        <f>SUM(Q21:R21)</f>
        <v>447868.62313687289</v>
      </c>
      <c r="T21" s="486">
        <f>AVERAGE(Q21:R21)</f>
        <v>223934.31156843645</v>
      </c>
      <c r="U21" s="93"/>
    </row>
    <row r="22" spans="1:25" ht="15.75" customHeight="1" thickBot="1" x14ac:dyDescent="0.4">
      <c r="A22" s="134"/>
      <c r="B22" s="467"/>
      <c r="C22" s="487"/>
      <c r="D22" s="487"/>
      <c r="E22" s="487"/>
      <c r="F22" s="487"/>
      <c r="G22" s="487"/>
      <c r="H22" s="488"/>
      <c r="I22" s="489"/>
      <c r="J22" s="490"/>
      <c r="K22" s="491"/>
      <c r="L22" s="487"/>
      <c r="M22" s="488"/>
      <c r="N22" s="492"/>
      <c r="O22" s="493"/>
      <c r="P22" s="494"/>
      <c r="Q22" s="487"/>
      <c r="R22" s="487"/>
      <c r="S22" s="472"/>
      <c r="T22" s="468"/>
      <c r="U22" s="156"/>
    </row>
    <row r="23" spans="1:25" ht="47.4" thickBot="1" x14ac:dyDescent="0.5">
      <c r="A23" s="134"/>
      <c r="B23" s="495" t="s">
        <v>77</v>
      </c>
      <c r="C23" s="496">
        <f t="shared" ref="C23:M23" si="12">C21/C12</f>
        <v>0.59641803222539369</v>
      </c>
      <c r="D23" s="496">
        <f t="shared" si="12"/>
        <v>0.62645852607593688</v>
      </c>
      <c r="E23" s="496">
        <f t="shared" si="12"/>
        <v>0.43283415840370348</v>
      </c>
      <c r="F23" s="496">
        <f t="shared" si="12"/>
        <v>0.68441601133558538</v>
      </c>
      <c r="G23" s="496">
        <f t="shared" si="12"/>
        <v>0.62242868739613422</v>
      </c>
      <c r="H23" s="497">
        <f t="shared" si="12"/>
        <v>0.6604764866875229</v>
      </c>
      <c r="I23" s="498"/>
      <c r="J23" s="499">
        <f>AVERAGE(C23:H23)</f>
        <v>0.60383865035404605</v>
      </c>
      <c r="K23" s="500">
        <f t="shared" si="12"/>
        <v>0.68693159015685457</v>
      </c>
      <c r="L23" s="496">
        <f t="shared" si="12"/>
        <v>0.53330381703300966</v>
      </c>
      <c r="M23" s="497">
        <f t="shared" si="12"/>
        <v>0.61843528319155916</v>
      </c>
      <c r="N23" s="501"/>
      <c r="O23" s="502">
        <f>AVERAGE(K23:M23)</f>
        <v>0.61289023012714117</v>
      </c>
      <c r="P23" s="503"/>
      <c r="Q23" s="496">
        <f>Q21/Q12</f>
        <v>0.76954091780439737</v>
      </c>
      <c r="R23" s="496">
        <f>R21/R12</f>
        <v>0.58730786337183916</v>
      </c>
      <c r="S23" s="500"/>
      <c r="T23" s="502">
        <f>AVERAGE(Q23:R23)</f>
        <v>0.67842439058811821</v>
      </c>
      <c r="U23" s="156"/>
    </row>
    <row r="24" spans="1:25" ht="24" thickBot="1" x14ac:dyDescent="0.5">
      <c r="A24" s="115"/>
      <c r="B24" s="504"/>
      <c r="C24" s="505"/>
      <c r="D24" s="505"/>
      <c r="E24" s="505"/>
      <c r="F24" s="505"/>
      <c r="G24" s="505"/>
      <c r="H24" s="506"/>
      <c r="I24" s="504"/>
      <c r="J24" s="507"/>
      <c r="K24" s="508"/>
      <c r="L24" s="505"/>
      <c r="M24" s="506"/>
      <c r="N24" s="509"/>
      <c r="O24" s="510"/>
      <c r="P24" s="511"/>
      <c r="Q24" s="505"/>
      <c r="R24" s="505"/>
      <c r="S24" s="508"/>
      <c r="T24" s="505"/>
      <c r="U24" s="165"/>
    </row>
    <row r="25" spans="1:25" ht="23.25" customHeight="1" thickBot="1" x14ac:dyDescent="0.5">
      <c r="A25" s="115"/>
      <c r="B25" s="512" t="s">
        <v>78</v>
      </c>
      <c r="C25" s="513">
        <f t="shared" ref="C25:M25" si="13">C12-C21</f>
        <v>325541.32266603073</v>
      </c>
      <c r="D25" s="513">
        <f t="shared" si="13"/>
        <v>240438.93468659738</v>
      </c>
      <c r="E25" s="513">
        <f t="shared" si="13"/>
        <v>87509.719197417377</v>
      </c>
      <c r="F25" s="513">
        <f t="shared" si="13"/>
        <v>563764.60227791755</v>
      </c>
      <c r="G25" s="513">
        <f t="shared" si="13"/>
        <v>355939.8745334777</v>
      </c>
      <c r="H25" s="514">
        <f t="shared" si="13"/>
        <v>1193161</v>
      </c>
      <c r="I25" s="515"/>
      <c r="J25" s="516">
        <f>AVERAGE(C25:H25)</f>
        <v>461059.24222690676</v>
      </c>
      <c r="K25" s="517">
        <f t="shared" si="13"/>
        <v>682846.65758209792</v>
      </c>
      <c r="L25" s="513">
        <f t="shared" si="13"/>
        <v>470474.55526429112</v>
      </c>
      <c r="M25" s="514">
        <f t="shared" si="13"/>
        <v>197046.50636006461</v>
      </c>
      <c r="N25" s="518"/>
      <c r="O25" s="519">
        <f>AVERAGE(K25:M25)</f>
        <v>450122.5730688179</v>
      </c>
      <c r="P25" s="520"/>
      <c r="Q25" s="513">
        <f>Q12-Q21</f>
        <v>102428</v>
      </c>
      <c r="R25" s="513">
        <f>R12-R21</f>
        <v>74375.376863127138</v>
      </c>
      <c r="S25" s="516">
        <f>SUM(Q25:R25)</f>
        <v>176803.37686312714</v>
      </c>
      <c r="T25" s="516">
        <f>AVERAGE(Q25:R25)</f>
        <v>88401.688431563569</v>
      </c>
      <c r="U25" s="170"/>
      <c r="V25" s="521"/>
      <c r="W25" s="521"/>
      <c r="X25" s="222"/>
      <c r="Y25" s="222"/>
    </row>
    <row r="26" spans="1:25" ht="23.4" x14ac:dyDescent="0.45">
      <c r="A26" s="115"/>
      <c r="B26" s="504"/>
      <c r="C26" s="522"/>
      <c r="D26" s="522"/>
      <c r="E26" s="522"/>
      <c r="F26" s="522"/>
      <c r="G26" s="522"/>
      <c r="H26" s="523"/>
      <c r="I26" s="524"/>
      <c r="J26" s="525"/>
      <c r="K26" s="526"/>
      <c r="L26" s="522"/>
      <c r="M26" s="523"/>
      <c r="N26" s="527"/>
      <c r="O26" s="528"/>
      <c r="P26" s="529"/>
      <c r="Q26" s="522"/>
      <c r="R26" s="522"/>
      <c r="S26" s="525"/>
      <c r="T26" s="530"/>
      <c r="U26" s="170"/>
    </row>
    <row r="27" spans="1:25" ht="46.8" x14ac:dyDescent="0.45">
      <c r="A27" s="115"/>
      <c r="B27" s="531" t="s">
        <v>140</v>
      </c>
      <c r="C27" s="532">
        <f>C25/C12</f>
        <v>0.40358196777460636</v>
      </c>
      <c r="D27" s="532">
        <f t="shared" ref="D27:M27" si="14">D25/D12</f>
        <v>0.37354147392406306</v>
      </c>
      <c r="E27" s="532">
        <f t="shared" si="14"/>
        <v>0.56716584159629646</v>
      </c>
      <c r="F27" s="532">
        <f t="shared" si="14"/>
        <v>0.31558398866441462</v>
      </c>
      <c r="G27" s="532">
        <f t="shared" si="14"/>
        <v>0.37757131260386578</v>
      </c>
      <c r="H27" s="533">
        <f t="shared" si="14"/>
        <v>0.33952351331247715</v>
      </c>
      <c r="I27" s="534"/>
      <c r="J27" s="535">
        <f>AVERAGE(C27:H27)</f>
        <v>0.39616134964595395</v>
      </c>
      <c r="K27" s="536">
        <f t="shared" si="14"/>
        <v>0.31306840984314543</v>
      </c>
      <c r="L27" s="532">
        <f t="shared" si="14"/>
        <v>0.46669618296699039</v>
      </c>
      <c r="M27" s="532">
        <f t="shared" si="14"/>
        <v>0.3815647168084409</v>
      </c>
      <c r="N27" s="527"/>
      <c r="O27" s="537">
        <f>AVERAGE(K27:M27)</f>
        <v>0.38710976987285889</v>
      </c>
      <c r="P27" s="529"/>
      <c r="Q27" s="532">
        <f t="shared" ref="Q27:R27" si="15">Q25/Q12</f>
        <v>0.23045908219560268</v>
      </c>
      <c r="R27" s="532">
        <f t="shared" si="15"/>
        <v>0.41269213662816079</v>
      </c>
      <c r="S27" s="525"/>
      <c r="T27" s="537">
        <f>AVERAGE(Q27:R27)</f>
        <v>0.32157560941188174</v>
      </c>
      <c r="U27" s="170"/>
    </row>
    <row r="28" spans="1:25" ht="24" thickBot="1" x14ac:dyDescent="0.5">
      <c r="A28" s="115"/>
      <c r="B28" s="504"/>
      <c r="C28" s="522"/>
      <c r="D28" s="522"/>
      <c r="E28" s="522"/>
      <c r="F28" s="522"/>
      <c r="G28" s="522"/>
      <c r="H28" s="523"/>
      <c r="I28" s="524"/>
      <c r="J28" s="525"/>
      <c r="K28" s="526"/>
      <c r="L28" s="522"/>
      <c r="M28" s="523"/>
      <c r="N28" s="527"/>
      <c r="O28" s="528"/>
      <c r="P28" s="529"/>
      <c r="Q28" s="522"/>
      <c r="R28" s="522"/>
      <c r="S28" s="525"/>
      <c r="T28" s="530"/>
      <c r="U28" s="170"/>
    </row>
    <row r="29" spans="1:25" ht="22.5" customHeight="1" thickBot="1" x14ac:dyDescent="0.5">
      <c r="A29" s="115"/>
      <c r="B29" s="538" t="s">
        <v>79</v>
      </c>
      <c r="C29" s="539">
        <f t="shared" ref="C29:M29" si="16">C10</f>
        <v>107150.67733396924</v>
      </c>
      <c r="D29" s="539">
        <f t="shared" si="16"/>
        <v>95535.065313402636</v>
      </c>
      <c r="E29" s="539">
        <f t="shared" si="16"/>
        <v>16207.280802582625</v>
      </c>
      <c r="F29" s="539">
        <f t="shared" si="16"/>
        <v>262094.39772208245</v>
      </c>
      <c r="G29" s="539">
        <f t="shared" si="16"/>
        <v>124345.12546652232</v>
      </c>
      <c r="H29" s="540">
        <f t="shared" si="16"/>
        <v>399395</v>
      </c>
      <c r="I29" s="541"/>
      <c r="J29" s="542">
        <f>AVERAGE(C29:H29)</f>
        <v>167454.59110642655</v>
      </c>
      <c r="K29" s="543">
        <f t="shared" si="16"/>
        <v>227625.34241790202</v>
      </c>
      <c r="L29" s="539">
        <f t="shared" si="16"/>
        <v>16129.444735708836</v>
      </c>
      <c r="M29" s="540">
        <f t="shared" si="16"/>
        <v>71020.493639935405</v>
      </c>
      <c r="N29" s="544"/>
      <c r="O29" s="545">
        <f>AVERAGE(K29:M29)</f>
        <v>104925.09359784874</v>
      </c>
      <c r="P29" s="546"/>
      <c r="Q29" s="539">
        <f>Q10</f>
        <v>84633</v>
      </c>
      <c r="R29" s="539">
        <f>R10</f>
        <v>33072.62313687287</v>
      </c>
      <c r="S29" s="542">
        <f>SUM(Q29:R29)</f>
        <v>117705.62313687286</v>
      </c>
      <c r="T29" s="542">
        <f>AVERAGE(Q29:R29)</f>
        <v>58852.811568436431</v>
      </c>
      <c r="U29" s="170"/>
      <c r="V29" s="547"/>
      <c r="W29" s="76"/>
      <c r="X29" s="548"/>
      <c r="Y29" s="548"/>
    </row>
    <row r="30" spans="1:25" ht="24" thickBot="1" x14ac:dyDescent="0.5">
      <c r="A30" s="115"/>
      <c r="B30" s="504"/>
      <c r="C30" s="522"/>
      <c r="D30" s="522"/>
      <c r="E30" s="522"/>
      <c r="F30" s="522"/>
      <c r="G30" s="522"/>
      <c r="H30" s="523"/>
      <c r="I30" s="524"/>
      <c r="J30" s="525"/>
      <c r="K30" s="526"/>
      <c r="L30" s="522"/>
      <c r="M30" s="523"/>
      <c r="N30" s="527"/>
      <c r="O30" s="528"/>
      <c r="P30" s="529"/>
      <c r="Q30" s="522"/>
      <c r="R30" s="522"/>
      <c r="S30" s="525"/>
      <c r="T30" s="530"/>
      <c r="U30" s="170"/>
    </row>
    <row r="31" spans="1:25" ht="25.5" customHeight="1" thickBot="1" x14ac:dyDescent="0.5">
      <c r="A31" s="115"/>
      <c r="B31" s="512" t="s">
        <v>81</v>
      </c>
      <c r="C31" s="549">
        <f t="shared" ref="C31:M31" si="17">C10/C11</f>
        <v>0.2227254192049625</v>
      </c>
      <c r="D31" s="549">
        <f t="shared" si="17"/>
        <v>0.23692152179064788</v>
      </c>
      <c r="E31" s="549">
        <f t="shared" si="17"/>
        <v>0.24268470503108111</v>
      </c>
      <c r="F31" s="549">
        <f t="shared" si="17"/>
        <v>0.2143654224294568</v>
      </c>
      <c r="G31" s="549">
        <f t="shared" si="17"/>
        <v>0.21191490838523463</v>
      </c>
      <c r="H31" s="550">
        <f t="shared" si="17"/>
        <v>0.17207432290663624</v>
      </c>
      <c r="I31" s="551"/>
      <c r="J31" s="552">
        <f>AVERAGE(C31:H31)</f>
        <v>0.21678104995800318</v>
      </c>
      <c r="K31" s="553">
        <f t="shared" si="17"/>
        <v>0.15192287927062989</v>
      </c>
      <c r="L31" s="549">
        <f t="shared" si="17"/>
        <v>3.0001490628109084E-2</v>
      </c>
      <c r="M31" s="550">
        <f t="shared" si="17"/>
        <v>0.22237650332220518</v>
      </c>
      <c r="N31" s="554"/>
      <c r="O31" s="555">
        <f>AVERAGE(K31:M31)</f>
        <v>0.13476695774031472</v>
      </c>
      <c r="P31" s="503"/>
      <c r="Q31" s="549">
        <f>Q10/Q11</f>
        <v>0.24744754754052348</v>
      </c>
      <c r="R31" s="549">
        <f>R10/R11</f>
        <v>0.31246389430764981</v>
      </c>
      <c r="S31" s="556"/>
      <c r="T31" s="557">
        <f>AVERAGE(Q31:R31)</f>
        <v>0.27995572092408666</v>
      </c>
      <c r="U31" s="170"/>
    </row>
    <row r="32" spans="1:25" ht="23.4" x14ac:dyDescent="0.45">
      <c r="A32" s="115"/>
      <c r="B32" s="558"/>
      <c r="C32" s="559"/>
      <c r="D32" s="559"/>
      <c r="E32" s="559"/>
      <c r="F32" s="559"/>
      <c r="G32" s="559"/>
      <c r="H32" s="560"/>
      <c r="I32" s="561"/>
      <c r="J32" s="562"/>
      <c r="K32" s="563"/>
      <c r="L32" s="559"/>
      <c r="M32" s="560"/>
      <c r="N32" s="564"/>
      <c r="O32" s="565"/>
      <c r="P32" s="566"/>
      <c r="Q32" s="559"/>
      <c r="R32" s="559"/>
      <c r="S32" s="567"/>
      <c r="T32" s="568"/>
      <c r="U32" s="170"/>
    </row>
    <row r="33" spans="1:25" ht="23.4" x14ac:dyDescent="0.45">
      <c r="A33" s="115"/>
      <c r="B33" s="349"/>
      <c r="C33" s="569"/>
      <c r="D33" s="569"/>
      <c r="E33" s="569"/>
      <c r="F33" s="569"/>
      <c r="G33" s="569"/>
      <c r="H33" s="570"/>
      <c r="I33" s="571"/>
      <c r="J33" s="572"/>
      <c r="K33" s="573"/>
      <c r="L33" s="569"/>
      <c r="M33" s="570"/>
      <c r="N33" s="574"/>
      <c r="O33" s="575"/>
      <c r="P33" s="576"/>
      <c r="Q33" s="569"/>
      <c r="R33" s="569"/>
      <c r="S33" s="507"/>
      <c r="T33" s="321"/>
      <c r="U33" s="170"/>
    </row>
    <row r="34" spans="1:25" ht="23.4" x14ac:dyDescent="0.45">
      <c r="A34" s="208"/>
      <c r="B34" s="577" t="s">
        <v>82</v>
      </c>
      <c r="C34" s="578"/>
      <c r="D34" s="578"/>
      <c r="E34" s="578"/>
      <c r="F34" s="578"/>
      <c r="G34" s="578"/>
      <c r="H34" s="579"/>
      <c r="I34" s="580"/>
      <c r="J34" s="581"/>
      <c r="K34" s="582"/>
      <c r="L34" s="578"/>
      <c r="M34" s="579"/>
      <c r="N34" s="583"/>
      <c r="O34" s="584"/>
      <c r="P34" s="585"/>
      <c r="Q34" s="578"/>
      <c r="R34" s="578"/>
      <c r="S34" s="586"/>
      <c r="T34" s="587"/>
      <c r="U34" s="170"/>
    </row>
    <row r="35" spans="1:25" ht="23.4" x14ac:dyDescent="0.45">
      <c r="A35" s="208"/>
      <c r="B35" s="588" t="s">
        <v>83</v>
      </c>
      <c r="C35" s="589">
        <v>88.18</v>
      </c>
      <c r="D35" s="589">
        <v>47.68</v>
      </c>
      <c r="E35" s="589">
        <v>95.56</v>
      </c>
      <c r="F35" s="589">
        <v>62.21</v>
      </c>
      <c r="G35" s="589">
        <v>96.8</v>
      </c>
      <c r="H35" s="590">
        <v>108.89</v>
      </c>
      <c r="I35" s="591"/>
      <c r="J35" s="592">
        <f>AVERAGE(C35:H35)</f>
        <v>83.22</v>
      </c>
      <c r="K35" s="593">
        <v>73.91</v>
      </c>
      <c r="L35" s="589">
        <v>84.94</v>
      </c>
      <c r="M35" s="590">
        <v>39.200000000000003</v>
      </c>
      <c r="N35" s="594"/>
      <c r="O35" s="595">
        <f>AVERAGE(K35:M35)</f>
        <v>66.016666666666666</v>
      </c>
      <c r="P35" s="596"/>
      <c r="Q35" s="589">
        <v>68.650000000000006</v>
      </c>
      <c r="R35" s="589">
        <v>61.04</v>
      </c>
      <c r="S35" s="597"/>
      <c r="T35" s="598">
        <f>AVERAGE(K35,L35,F35,G35,H35)</f>
        <v>85.35</v>
      </c>
      <c r="U35" s="221"/>
      <c r="V35" s="222"/>
      <c r="X35" s="222"/>
      <c r="Y35" s="222"/>
    </row>
    <row r="36" spans="1:25" ht="23.4" x14ac:dyDescent="0.45">
      <c r="A36" s="208"/>
      <c r="B36" s="349" t="s">
        <v>84</v>
      </c>
      <c r="C36" s="599">
        <v>101.68</v>
      </c>
      <c r="D36" s="599"/>
      <c r="E36" s="599">
        <v>79.53</v>
      </c>
      <c r="F36" s="599">
        <v>63.93</v>
      </c>
      <c r="G36" s="599">
        <v>89.88</v>
      </c>
      <c r="H36" s="600">
        <v>80.989999999999995</v>
      </c>
      <c r="I36" s="601"/>
      <c r="J36" s="602">
        <f>AVERAGE(C36:H36)</f>
        <v>83.201999999999998</v>
      </c>
      <c r="K36" s="603">
        <v>75.819999999999993</v>
      </c>
      <c r="L36" s="599">
        <v>84.3</v>
      </c>
      <c r="M36" s="600">
        <v>75.63</v>
      </c>
      <c r="N36" s="604"/>
      <c r="O36" s="605">
        <f>AVERAGE(K36:M36)</f>
        <v>78.583333333333329</v>
      </c>
      <c r="P36" s="596"/>
      <c r="Q36" s="599">
        <v>77.89</v>
      </c>
      <c r="R36" s="599">
        <v>89.09</v>
      </c>
      <c r="S36" s="602"/>
      <c r="T36" s="606">
        <f>AVERAGE(K36,L36,F36,G36,H36)</f>
        <v>78.984000000000009</v>
      </c>
      <c r="U36" s="221"/>
      <c r="V36" s="222"/>
      <c r="X36" s="222"/>
      <c r="Y36" s="222"/>
    </row>
    <row r="37" spans="1:25" ht="24" thickBot="1" x14ac:dyDescent="0.5">
      <c r="A37" s="76"/>
      <c r="B37" s="607" t="s">
        <v>118</v>
      </c>
      <c r="C37" s="608">
        <v>67.59</v>
      </c>
      <c r="D37" s="608">
        <v>67.59</v>
      </c>
      <c r="E37" s="608">
        <v>67.59</v>
      </c>
      <c r="F37" s="608">
        <v>63.93</v>
      </c>
      <c r="G37" s="608">
        <v>67.59</v>
      </c>
      <c r="H37" s="609">
        <v>67.59</v>
      </c>
      <c r="I37" s="610"/>
      <c r="J37" s="611"/>
      <c r="K37" s="612">
        <v>71.42</v>
      </c>
      <c r="L37" s="608">
        <v>71.42</v>
      </c>
      <c r="M37" s="609">
        <v>71.42</v>
      </c>
      <c r="N37" s="613"/>
      <c r="O37" s="614"/>
      <c r="P37" s="615"/>
      <c r="Q37" s="608">
        <v>81.010000000000005</v>
      </c>
      <c r="R37" s="608">
        <v>81.010000000000005</v>
      </c>
      <c r="S37" s="611"/>
      <c r="T37" s="616"/>
      <c r="U37" s="221"/>
    </row>
    <row r="38" spans="1:25" ht="23.4" x14ac:dyDescent="0.45">
      <c r="A38" s="76"/>
      <c r="B38" s="617" t="s">
        <v>87</v>
      </c>
      <c r="C38" s="618">
        <v>215225</v>
      </c>
      <c r="D38" s="618">
        <v>428902</v>
      </c>
      <c r="E38" s="618">
        <v>42392</v>
      </c>
      <c r="F38" s="618">
        <v>1382385</v>
      </c>
      <c r="G38" s="618">
        <v>232134</v>
      </c>
      <c r="H38" s="619">
        <v>820931</v>
      </c>
      <c r="I38" s="620">
        <f>SUM(C38:H38)</f>
        <v>3121969</v>
      </c>
      <c r="J38" s="621">
        <f>AVERAGE(C38:H38)</f>
        <v>520328.16666666669</v>
      </c>
      <c r="K38" s="622">
        <v>938525</v>
      </c>
      <c r="L38" s="618">
        <v>324218</v>
      </c>
      <c r="M38" s="619">
        <v>321431</v>
      </c>
      <c r="N38" s="623">
        <f>SUM(K38:M38)</f>
        <v>1584174</v>
      </c>
      <c r="O38" s="624">
        <f>AVERAGE(K38:M38)</f>
        <v>528058</v>
      </c>
      <c r="P38" s="625"/>
      <c r="Q38" s="618">
        <v>195672</v>
      </c>
      <c r="R38" s="618">
        <v>46530</v>
      </c>
      <c r="S38" s="626">
        <f>SUM(Q38:R38)</f>
        <v>242202</v>
      </c>
      <c r="T38" s="39">
        <f>AVERAGE(Q38:R38)</f>
        <v>121101</v>
      </c>
      <c r="U38" s="221"/>
    </row>
    <row r="39" spans="1:25" ht="24" thickBot="1" x14ac:dyDescent="0.5">
      <c r="A39" s="76"/>
      <c r="B39" s="365" t="s">
        <v>88</v>
      </c>
      <c r="C39" s="627">
        <v>505374</v>
      </c>
      <c r="D39" s="627">
        <v>495369</v>
      </c>
      <c r="E39" s="627">
        <v>86472</v>
      </c>
      <c r="F39" s="627">
        <v>698394</v>
      </c>
      <c r="G39" s="627">
        <v>398777</v>
      </c>
      <c r="H39" s="628">
        <v>1197875</v>
      </c>
      <c r="I39" s="629">
        <f>SUM(C39:H39)</f>
        <v>3382261</v>
      </c>
      <c r="J39" s="630">
        <f>AVERAGE(C39:H39)</f>
        <v>563710.16666666663</v>
      </c>
      <c r="K39" s="631">
        <v>1242606</v>
      </c>
      <c r="L39" s="627">
        <v>511063</v>
      </c>
      <c r="M39" s="628">
        <v>415297</v>
      </c>
      <c r="N39" s="632">
        <f>SUM(K39:M39)</f>
        <v>2168966</v>
      </c>
      <c r="O39" s="633">
        <f>AVERAGE(K39:M39)</f>
        <v>722988.66666666663</v>
      </c>
      <c r="P39" s="634"/>
      <c r="Q39" s="627">
        <v>259648</v>
      </c>
      <c r="R39" s="627">
        <v>113658</v>
      </c>
      <c r="S39" s="635">
        <f>SUM(Q39:R39)</f>
        <v>373306</v>
      </c>
      <c r="T39" s="636">
        <f>AVERAGE(Q39:R39)</f>
        <v>186653</v>
      </c>
      <c r="U39" s="221"/>
    </row>
    <row r="40" spans="1:25" ht="24.6" thickTop="1" thickBot="1" x14ac:dyDescent="0.5">
      <c r="A40" s="76"/>
      <c r="B40" s="637" t="s">
        <v>89</v>
      </c>
      <c r="C40" s="638">
        <f t="shared" ref="C40:H40" si="18">SUM(C38:C39)</f>
        <v>720599</v>
      </c>
      <c r="D40" s="638">
        <f>SUM(D38:D39)</f>
        <v>924271</v>
      </c>
      <c r="E40" s="638">
        <f>SUM(E38:E39)</f>
        <v>128864</v>
      </c>
      <c r="F40" s="638">
        <f t="shared" si="18"/>
        <v>2080779</v>
      </c>
      <c r="G40" s="638">
        <f t="shared" si="18"/>
        <v>630911</v>
      </c>
      <c r="H40" s="639">
        <f t="shared" si="18"/>
        <v>2018806</v>
      </c>
      <c r="I40" s="640">
        <f>SUM(C40:H40)</f>
        <v>6504230</v>
      </c>
      <c r="J40" s="641">
        <f>AVERAGE(C40:I40)</f>
        <v>1858351.4285714286</v>
      </c>
      <c r="K40" s="642">
        <f>SUM(K38:K39)</f>
        <v>2181131</v>
      </c>
      <c r="L40" s="638">
        <f>SUM(L38:L39)</f>
        <v>835281</v>
      </c>
      <c r="M40" s="638">
        <f>SUM(M38:M39)</f>
        <v>736728</v>
      </c>
      <c r="N40" s="643">
        <f>SUM(K40:M40)</f>
        <v>3753140</v>
      </c>
      <c r="O40" s="644">
        <f>AVERAGE(K40:M40)</f>
        <v>1251046.6666666667</v>
      </c>
      <c r="P40" s="645"/>
      <c r="Q40" s="638">
        <f>SUM(Q38:Q39)</f>
        <v>455320</v>
      </c>
      <c r="R40" s="638">
        <f>SUM(R38:R39)</f>
        <v>160188</v>
      </c>
      <c r="S40" s="646">
        <f>SUM(Q40:R40)</f>
        <v>615508</v>
      </c>
      <c r="T40" s="642">
        <f>AVERAGE(Q40:R40)</f>
        <v>307754</v>
      </c>
      <c r="U40" s="251"/>
    </row>
    <row r="42" spans="1:25" x14ac:dyDescent="0.3">
      <c r="B42" s="252"/>
    </row>
    <row r="43" spans="1:25" x14ac:dyDescent="0.3">
      <c r="D43" s="222">
        <f>AVERAGE(C36,D35,E36,F36,G36,H36,K36,L36,M36,Q36,R36)</f>
        <v>78.765454545454546</v>
      </c>
      <c r="E43">
        <f>STDEVPA(C36,D35,E36,F36,G36,H36,K36,L36,M36,Q36,R36)</f>
        <v>13.474013617894476</v>
      </c>
      <c r="K43" s="253"/>
    </row>
    <row r="44" spans="1:25" x14ac:dyDescent="0.3">
      <c r="B44" s="255"/>
      <c r="C44" s="222"/>
      <c r="D44" s="222">
        <f>D43+E43</f>
        <v>92.239468163349017</v>
      </c>
      <c r="E44" s="222">
        <f>D43-E43</f>
        <v>65.291440927560075</v>
      </c>
      <c r="F44" s="222"/>
    </row>
    <row r="47" spans="1:25" ht="15.75" customHeight="1" x14ac:dyDescent="0.3">
      <c r="A47" s="257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648"/>
      <c r="Q47" s="258"/>
      <c r="R47" s="258"/>
      <c r="S47" s="260"/>
      <c r="T47" s="257"/>
    </row>
    <row r="48" spans="1:25" x14ac:dyDescent="0.3">
      <c r="A48" s="261"/>
      <c r="B48" s="258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649"/>
      <c r="Q48" s="262"/>
      <c r="R48" s="262"/>
      <c r="S48" s="264"/>
      <c r="T48" s="257"/>
    </row>
    <row r="49" spans="1:20" x14ac:dyDescent="0.3">
      <c r="A49" s="261"/>
      <c r="B49" s="258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649"/>
      <c r="Q49" s="262"/>
      <c r="R49" s="262"/>
      <c r="S49" s="262"/>
      <c r="T49" s="257"/>
    </row>
    <row r="50" spans="1:20" x14ac:dyDescent="0.3">
      <c r="A50" s="261"/>
      <c r="B50" s="258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650"/>
      <c r="Q50" s="259"/>
      <c r="R50" s="259"/>
      <c r="S50" s="259"/>
      <c r="T50" s="257"/>
    </row>
    <row r="51" spans="1:20" x14ac:dyDescent="0.3">
      <c r="A51" s="261"/>
      <c r="B51" s="258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650"/>
      <c r="Q51" s="259"/>
      <c r="R51" s="259"/>
      <c r="S51" s="259"/>
      <c r="T51" s="257"/>
    </row>
    <row r="52" spans="1:20" x14ac:dyDescent="0.3">
      <c r="A52" s="261"/>
      <c r="B52" s="258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651"/>
      <c r="Q52" s="263"/>
      <c r="R52" s="263"/>
      <c r="S52" s="266"/>
      <c r="T52" s="257"/>
    </row>
    <row r="53" spans="1:20" x14ac:dyDescent="0.3">
      <c r="A53" s="261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648"/>
      <c r="Q53" s="258"/>
      <c r="R53" s="258"/>
      <c r="S53" s="268"/>
      <c r="T53" s="257"/>
    </row>
    <row r="54" spans="1:20" x14ac:dyDescent="0.3">
      <c r="A54" s="261"/>
      <c r="B54" s="258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650"/>
      <c r="Q54" s="259"/>
      <c r="R54" s="259"/>
      <c r="S54" s="259"/>
      <c r="T54" s="257"/>
    </row>
    <row r="55" spans="1:20" x14ac:dyDescent="0.3">
      <c r="A55" s="261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648"/>
      <c r="Q55" s="258"/>
      <c r="R55" s="258"/>
      <c r="S55" s="270"/>
      <c r="T55" s="257"/>
    </row>
    <row r="56" spans="1:20" x14ac:dyDescent="0.3">
      <c r="A56" s="261"/>
      <c r="B56" s="258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652"/>
      <c r="Q56" s="265"/>
      <c r="R56" s="265"/>
      <c r="S56" s="265"/>
      <c r="T56" s="257"/>
    </row>
    <row r="57" spans="1:20" x14ac:dyDescent="0.3">
      <c r="A57" s="261"/>
      <c r="B57" s="258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653"/>
      <c r="Q57" s="267"/>
      <c r="R57" s="267"/>
      <c r="S57" s="267"/>
      <c r="T57" s="257"/>
    </row>
    <row r="58" spans="1:20" x14ac:dyDescent="0.3">
      <c r="A58" s="261"/>
      <c r="B58" s="25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654"/>
      <c r="Q58" s="269"/>
      <c r="R58" s="269"/>
      <c r="S58" s="265"/>
      <c r="T58" s="257"/>
    </row>
    <row r="59" spans="1:20" x14ac:dyDescent="0.3">
      <c r="A59" s="261"/>
      <c r="B59" s="258"/>
      <c r="C59" s="267"/>
      <c r="D59" s="267"/>
      <c r="E59" s="267"/>
      <c r="F59" s="267"/>
      <c r="G59" s="267"/>
      <c r="H59" s="267"/>
      <c r="I59" s="267"/>
      <c r="J59" s="267"/>
      <c r="K59" s="258"/>
      <c r="L59" s="267"/>
      <c r="M59" s="267"/>
      <c r="N59" s="267"/>
      <c r="O59" s="267"/>
      <c r="P59" s="653"/>
      <c r="Q59" s="267"/>
      <c r="R59" s="267"/>
      <c r="S59" s="267"/>
      <c r="T59" s="257"/>
    </row>
    <row r="60" spans="1:20" x14ac:dyDescent="0.3">
      <c r="A60" s="257"/>
      <c r="B60" s="257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655"/>
      <c r="Q60" s="260"/>
      <c r="R60" s="260"/>
      <c r="S60" s="257"/>
      <c r="T60" s="257"/>
    </row>
    <row r="61" spans="1:20" x14ac:dyDescent="0.3">
      <c r="A61" s="257"/>
      <c r="B61" s="273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655"/>
      <c r="Q61" s="260"/>
      <c r="R61" s="260"/>
      <c r="S61" s="274"/>
      <c r="T61" s="257"/>
    </row>
    <row r="62" spans="1:20" x14ac:dyDescent="0.3">
      <c r="A62" s="257"/>
      <c r="B62" s="258"/>
      <c r="C62" s="272"/>
      <c r="D62" s="272"/>
      <c r="E62" s="272"/>
      <c r="F62" s="272"/>
      <c r="G62" s="272"/>
      <c r="H62" s="272"/>
      <c r="I62" s="272"/>
      <c r="J62" s="272"/>
      <c r="K62" s="260"/>
      <c r="L62" s="272"/>
      <c r="M62" s="272"/>
      <c r="N62" s="272"/>
      <c r="O62" s="272"/>
      <c r="P62" s="656"/>
      <c r="Q62" s="272"/>
      <c r="R62" s="272"/>
      <c r="S62" s="274"/>
      <c r="T62" s="257"/>
    </row>
    <row r="63" spans="1:20" x14ac:dyDescent="0.3">
      <c r="A63" s="257"/>
      <c r="B63" s="258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656"/>
      <c r="Q63" s="272"/>
      <c r="R63" s="272"/>
      <c r="S63" s="275"/>
      <c r="T63" s="257"/>
    </row>
    <row r="64" spans="1:20" x14ac:dyDescent="0.3">
      <c r="A64" s="257"/>
      <c r="B64" s="258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656"/>
      <c r="Q64" s="272"/>
      <c r="R64" s="272"/>
      <c r="S64" s="262"/>
      <c r="T64" s="257"/>
    </row>
    <row r="65" spans="1:20" x14ac:dyDescent="0.3">
      <c r="A65" s="257"/>
      <c r="B65" s="258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656"/>
      <c r="Q65" s="272"/>
      <c r="R65" s="272"/>
      <c r="S65" s="272"/>
      <c r="T65" s="257"/>
    </row>
    <row r="66" spans="1:20" x14ac:dyDescent="0.3">
      <c r="A66" s="257"/>
      <c r="B66" s="258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656"/>
      <c r="Q66" s="272"/>
      <c r="R66" s="272"/>
      <c r="S66" s="272"/>
      <c r="T66" s="257"/>
    </row>
    <row r="67" spans="1:20" x14ac:dyDescent="0.3">
      <c r="A67" s="257"/>
      <c r="B67" s="258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656"/>
      <c r="Q67" s="272"/>
      <c r="R67" s="272"/>
      <c r="S67" s="272"/>
      <c r="T67" s="257"/>
    </row>
    <row r="68" spans="1:20" x14ac:dyDescent="0.3">
      <c r="A68" s="257"/>
      <c r="B68" s="258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656"/>
      <c r="Q68" s="272"/>
      <c r="R68" s="272"/>
      <c r="S68" s="272"/>
      <c r="T68" s="257"/>
    </row>
    <row r="69" spans="1:20" x14ac:dyDescent="0.3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657"/>
      <c r="Q69" s="257"/>
      <c r="R69" s="257"/>
      <c r="S69" s="257"/>
      <c r="T69" s="257"/>
    </row>
    <row r="70" spans="1:20" x14ac:dyDescent="0.3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657"/>
      <c r="Q70" s="257"/>
      <c r="R70" s="257"/>
      <c r="S70" s="257"/>
      <c r="T70" s="257"/>
    </row>
    <row r="71" spans="1:20" x14ac:dyDescent="0.3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657"/>
      <c r="Q71" s="257"/>
      <c r="R71" s="257"/>
      <c r="S71" s="257"/>
      <c r="T71" s="257"/>
    </row>
    <row r="72" spans="1:20" x14ac:dyDescent="0.3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657"/>
      <c r="Q72" s="257"/>
      <c r="R72" s="257"/>
      <c r="S72" s="257"/>
      <c r="T72" s="257"/>
    </row>
    <row r="73" spans="1:20" x14ac:dyDescent="0.3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657"/>
      <c r="Q73" s="257"/>
      <c r="R73" s="257"/>
      <c r="S73" s="257"/>
      <c r="T73" s="257"/>
    </row>
    <row r="74" spans="1:20" x14ac:dyDescent="0.3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657"/>
      <c r="Q74" s="257"/>
      <c r="R74" s="257"/>
      <c r="S74" s="257"/>
      <c r="T74" s="257"/>
    </row>
  </sheetData>
  <printOptions headings="1" gridLines="1"/>
  <pageMargins left="0.25" right="0.25" top="0.75" bottom="0.75" header="0.3" footer="0.3"/>
  <pageSetup scale="42" orientation="landscape" r:id="rId1"/>
  <headerFooter>
    <oddFooter>&amp;L&amp;Z&amp;F&amp;C
&amp;P of &amp;N
&amp;R&amp;D</oddFooter>
  </headerFooter>
  <colBreaks count="2" manualBreakCount="2">
    <brk id="10" max="35" man="1"/>
    <brk id="23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4F19-1D1F-40B7-8B8D-783F174F77DB}">
  <dimension ref="A1:L65"/>
  <sheetViews>
    <sheetView view="pageBreakPreview" topLeftCell="A7" zoomScale="60" zoomScaleNormal="100" workbookViewId="0">
      <selection activeCell="N28" sqref="N28"/>
    </sheetView>
  </sheetViews>
  <sheetFormatPr defaultRowHeight="14.4" x14ac:dyDescent="0.3"/>
  <cols>
    <col min="2" max="2" width="36.88671875" bestFit="1" customWidth="1"/>
    <col min="3" max="3" width="20.109375" bestFit="1" customWidth="1"/>
    <col min="4" max="4" width="17.88671875" customWidth="1"/>
    <col min="5" max="5" width="7" customWidth="1"/>
    <col min="6" max="6" width="33.44140625" bestFit="1" customWidth="1"/>
    <col min="7" max="7" width="20.109375" bestFit="1" customWidth="1"/>
    <col min="8" max="8" width="20" customWidth="1"/>
    <col min="9" max="9" width="5.109375" customWidth="1"/>
    <col min="10" max="10" width="40.44140625" customWidth="1"/>
    <col min="11" max="11" width="20.109375" bestFit="1" customWidth="1"/>
    <col min="12" max="12" width="12.5546875" bestFit="1" customWidth="1"/>
    <col min="13" max="13" width="6.109375" bestFit="1" customWidth="1"/>
    <col min="14" max="16" width="12.5546875" bestFit="1" customWidth="1"/>
    <col min="17" max="17" width="11.5546875" bestFit="1" customWidth="1"/>
    <col min="18" max="18" width="14.33203125" bestFit="1" customWidth="1"/>
  </cols>
  <sheetData>
    <row r="1" spans="1:12" ht="21" x14ac:dyDescent="0.4">
      <c r="A1" s="276"/>
      <c r="B1" s="276" t="s">
        <v>90</v>
      </c>
      <c r="C1" s="276"/>
      <c r="D1" s="276"/>
      <c r="E1" s="276"/>
      <c r="F1" s="276"/>
      <c r="G1" s="276"/>
      <c r="H1" s="276"/>
      <c r="I1" s="276"/>
    </row>
    <row r="2" spans="1:12" ht="21" x14ac:dyDescent="0.4">
      <c r="A2" s="276"/>
      <c r="B2" s="276" t="s">
        <v>141</v>
      </c>
      <c r="C2" s="276"/>
      <c r="D2" s="276"/>
      <c r="E2" s="276"/>
      <c r="F2" s="276"/>
      <c r="G2" s="276"/>
      <c r="H2" s="276"/>
      <c r="I2" s="276"/>
    </row>
    <row r="3" spans="1:12" ht="21" x14ac:dyDescent="0.4">
      <c r="A3" s="276"/>
      <c r="B3" s="276" t="s">
        <v>92</v>
      </c>
      <c r="C3" s="276"/>
      <c r="D3" s="276"/>
      <c r="E3" s="276"/>
      <c r="F3" s="276"/>
      <c r="G3" s="276"/>
      <c r="H3" s="276"/>
      <c r="I3" s="276"/>
    </row>
    <row r="4" spans="1:12" ht="21" x14ac:dyDescent="0.4">
      <c r="A4" s="276"/>
      <c r="B4" s="276"/>
      <c r="C4" s="276"/>
      <c r="D4" s="276"/>
      <c r="E4" s="276"/>
      <c r="F4" s="276"/>
      <c r="G4" s="276"/>
      <c r="H4" s="276"/>
      <c r="I4" s="276"/>
    </row>
    <row r="5" spans="1:12" ht="21" customHeight="1" x14ac:dyDescent="0.4">
      <c r="A5" s="276"/>
      <c r="B5" s="276"/>
      <c r="C5" s="276"/>
      <c r="D5" s="276"/>
      <c r="E5" s="276"/>
      <c r="F5" s="276"/>
      <c r="G5" s="276"/>
      <c r="H5" s="376"/>
      <c r="I5" s="376"/>
      <c r="J5" s="222"/>
      <c r="K5" s="222"/>
    </row>
    <row r="6" spans="1:12" ht="44.25" customHeight="1" thickBot="1" x14ac:dyDescent="0.45">
      <c r="A6" s="276"/>
      <c r="B6" s="949" t="s">
        <v>142</v>
      </c>
      <c r="C6" s="949"/>
      <c r="D6" s="276"/>
      <c r="E6" s="276"/>
      <c r="F6" s="945" t="s">
        <v>143</v>
      </c>
      <c r="G6" s="945"/>
      <c r="J6" s="945" t="s">
        <v>144</v>
      </c>
      <c r="K6" s="945"/>
    </row>
    <row r="7" spans="1:12" ht="21" x14ac:dyDescent="0.4">
      <c r="A7" s="276"/>
      <c r="B7" s="946" t="s">
        <v>145</v>
      </c>
      <c r="C7" s="658"/>
      <c r="D7" s="276"/>
      <c r="E7" s="276"/>
      <c r="F7" s="946" t="s">
        <v>145</v>
      </c>
      <c r="G7" s="658"/>
      <c r="H7" s="276"/>
      <c r="J7" s="946" t="s">
        <v>145</v>
      </c>
      <c r="K7" s="658"/>
      <c r="L7" s="276"/>
    </row>
    <row r="8" spans="1:12" ht="21" x14ac:dyDescent="0.4">
      <c r="A8" s="276"/>
      <c r="B8" s="947"/>
      <c r="C8" s="659"/>
      <c r="D8" s="276"/>
      <c r="E8" s="276"/>
      <c r="F8" s="947"/>
      <c r="G8" s="659"/>
      <c r="H8" s="276"/>
      <c r="J8" s="947"/>
      <c r="K8" s="659"/>
      <c r="L8" s="276"/>
    </row>
    <row r="9" spans="1:12" ht="21.6" thickBot="1" x14ac:dyDescent="0.45">
      <c r="A9" s="276"/>
      <c r="B9" s="948"/>
      <c r="C9" s="660">
        <v>286144.88</v>
      </c>
      <c r="D9" s="276"/>
      <c r="E9" s="276"/>
      <c r="F9" s="950"/>
      <c r="G9" s="661">
        <v>397949.48</v>
      </c>
      <c r="H9" s="276"/>
      <c r="J9" s="948"/>
      <c r="K9" s="661">
        <v>174340.28</v>
      </c>
      <c r="L9" s="276"/>
    </row>
    <row r="10" spans="1:12" ht="21.6" thickBot="1" x14ac:dyDescent="0.45">
      <c r="A10" s="276"/>
      <c r="B10" s="662"/>
      <c r="C10" s="663"/>
      <c r="D10" s="276"/>
      <c r="E10" s="276"/>
      <c r="F10" s="664"/>
      <c r="G10" s="665"/>
      <c r="H10" s="276"/>
      <c r="J10" s="662"/>
      <c r="K10" s="665"/>
      <c r="L10" s="276"/>
    </row>
    <row r="11" spans="1:12" ht="42" x14ac:dyDescent="0.4">
      <c r="A11" s="276"/>
      <c r="B11" s="666" t="s">
        <v>146</v>
      </c>
      <c r="C11" s="667">
        <f>C9</f>
        <v>286144.88</v>
      </c>
      <c r="D11" s="276"/>
      <c r="E11" s="276"/>
      <c r="F11" s="666" t="s">
        <v>146</v>
      </c>
      <c r="G11" s="667">
        <f>G9</f>
        <v>397949.48</v>
      </c>
      <c r="H11" s="276"/>
      <c r="J11" s="666" t="s">
        <v>146</v>
      </c>
      <c r="K11" s="667">
        <f>K9</f>
        <v>174340.28</v>
      </c>
      <c r="L11" s="276"/>
    </row>
    <row r="12" spans="1:12" ht="21" x14ac:dyDescent="0.4">
      <c r="A12" s="276"/>
      <c r="B12" s="668" t="s">
        <v>147</v>
      </c>
      <c r="C12" s="669">
        <v>0.1168</v>
      </c>
      <c r="D12" s="276"/>
      <c r="E12" s="376"/>
      <c r="F12" s="670" t="s">
        <v>148</v>
      </c>
      <c r="G12" s="671">
        <v>0.12139999999999999</v>
      </c>
      <c r="H12" s="276"/>
      <c r="J12" s="668" t="s">
        <v>149</v>
      </c>
      <c r="K12" s="671">
        <v>0.11219999999999999</v>
      </c>
      <c r="L12" s="276"/>
    </row>
    <row r="13" spans="1:12" ht="42.6" thickBot="1" x14ac:dyDescent="0.45">
      <c r="A13" s="276"/>
      <c r="B13" s="672" t="s">
        <v>150</v>
      </c>
      <c r="C13" s="673">
        <f>C11*C12</f>
        <v>33421.721984000003</v>
      </c>
      <c r="D13" s="276"/>
      <c r="E13" s="276"/>
      <c r="F13" s="672" t="s">
        <v>150</v>
      </c>
      <c r="G13" s="673">
        <f>G11*G12</f>
        <v>48311.066871999996</v>
      </c>
      <c r="H13" s="276"/>
      <c r="J13" s="672" t="s">
        <v>150</v>
      </c>
      <c r="K13" s="673">
        <f>K11*K12</f>
        <v>19560.979415999998</v>
      </c>
      <c r="L13" s="276"/>
    </row>
    <row r="14" spans="1:12" ht="21.6" thickBot="1" x14ac:dyDescent="0.45">
      <c r="A14" s="276"/>
      <c r="B14" s="662"/>
      <c r="C14" s="663"/>
      <c r="D14" s="276"/>
      <c r="E14" s="276"/>
      <c r="F14" s="662"/>
      <c r="G14" s="663"/>
      <c r="H14" s="276"/>
      <c r="J14" s="662"/>
      <c r="K14" s="663"/>
      <c r="L14" s="276"/>
    </row>
    <row r="15" spans="1:12" ht="42" x14ac:dyDescent="0.4">
      <c r="A15" s="276"/>
      <c r="B15" s="666" t="s">
        <v>108</v>
      </c>
      <c r="C15" s="674">
        <f>C11</f>
        <v>286144.88</v>
      </c>
      <c r="D15" s="276"/>
      <c r="E15" s="276"/>
      <c r="F15" s="666" t="s">
        <v>108</v>
      </c>
      <c r="G15" s="674">
        <f>G11</f>
        <v>397949.48</v>
      </c>
      <c r="H15" s="276"/>
      <c r="J15" s="666" t="s">
        <v>108</v>
      </c>
      <c r="K15" s="674">
        <f>K11</f>
        <v>174340.28</v>
      </c>
      <c r="L15" s="276"/>
    </row>
    <row r="16" spans="1:12" ht="21" x14ac:dyDescent="0.4">
      <c r="A16" s="276"/>
      <c r="B16" s="668" t="s">
        <v>151</v>
      </c>
      <c r="C16" s="675">
        <f>C13</f>
        <v>33421.721984000003</v>
      </c>
      <c r="D16" s="276"/>
      <c r="E16" s="276"/>
      <c r="F16" s="668" t="s">
        <v>151</v>
      </c>
      <c r="G16" s="675">
        <f>G13</f>
        <v>48311.066871999996</v>
      </c>
      <c r="H16" s="276"/>
      <c r="J16" s="668" t="s">
        <v>151</v>
      </c>
      <c r="K16" s="675">
        <f>K13</f>
        <v>19560.979415999998</v>
      </c>
      <c r="L16" s="276"/>
    </row>
    <row r="17" spans="1:12" ht="42.6" thickBot="1" x14ac:dyDescent="0.45">
      <c r="A17" s="276"/>
      <c r="B17" s="672" t="s">
        <v>152</v>
      </c>
      <c r="C17" s="673">
        <f>C15+C16</f>
        <v>319566.60198400001</v>
      </c>
      <c r="D17" s="276"/>
      <c r="E17" s="276"/>
      <c r="F17" s="672" t="s">
        <v>152</v>
      </c>
      <c r="G17" s="673">
        <f>G15+G16</f>
        <v>446260.54687199998</v>
      </c>
      <c r="H17" s="276"/>
      <c r="J17" s="672" t="s">
        <v>152</v>
      </c>
      <c r="K17" s="673">
        <f>K15+K16</f>
        <v>193901.25941599999</v>
      </c>
      <c r="L17" s="276"/>
    </row>
    <row r="18" spans="1:12" ht="21.6" thickBot="1" x14ac:dyDescent="0.45">
      <c r="A18" s="276"/>
      <c r="B18" s="662"/>
      <c r="C18" s="663"/>
      <c r="D18" s="276"/>
      <c r="E18" s="276"/>
      <c r="F18" s="662"/>
      <c r="G18" s="663"/>
      <c r="H18" s="276"/>
      <c r="J18" s="662"/>
      <c r="K18" s="663"/>
      <c r="L18" s="276"/>
    </row>
    <row r="19" spans="1:12" ht="42" x14ac:dyDescent="0.4">
      <c r="A19" s="276"/>
      <c r="B19" s="676" t="s">
        <v>153</v>
      </c>
      <c r="C19" s="674">
        <f>C17</f>
        <v>319566.60198400001</v>
      </c>
      <c r="D19" s="677">
        <v>0.60729999999999995</v>
      </c>
      <c r="E19" s="276"/>
      <c r="F19" s="676" t="s">
        <v>153</v>
      </c>
      <c r="G19" s="674">
        <f>G17</f>
        <v>446260.54687199998</v>
      </c>
      <c r="H19" s="678">
        <v>0.65259999999999996</v>
      </c>
      <c r="J19" s="676" t="s">
        <v>153</v>
      </c>
      <c r="K19" s="674">
        <f>K17</f>
        <v>193901.25941599999</v>
      </c>
      <c r="L19" s="679">
        <v>0.56200000000000006</v>
      </c>
    </row>
    <row r="20" spans="1:12" ht="21" x14ac:dyDescent="0.4">
      <c r="A20" s="276"/>
      <c r="B20" s="668"/>
      <c r="C20" s="680"/>
      <c r="D20" s="681"/>
      <c r="E20" s="276"/>
      <c r="F20" s="668"/>
      <c r="G20" s="680"/>
      <c r="H20" s="682"/>
      <c r="J20" s="668"/>
      <c r="K20" s="680"/>
      <c r="L20" s="683"/>
    </row>
    <row r="21" spans="1:12" ht="21" x14ac:dyDescent="0.4">
      <c r="A21" s="276"/>
      <c r="B21" s="670" t="s">
        <v>78</v>
      </c>
      <c r="C21" s="684">
        <f>C23*D21</f>
        <v>206642.19430119678</v>
      </c>
      <c r="D21" s="685">
        <v>0.39269999999999999</v>
      </c>
      <c r="E21" s="276"/>
      <c r="F21" s="670" t="s">
        <v>78</v>
      </c>
      <c r="G21" s="684">
        <f>G23*H21</f>
        <v>237558.86298396075</v>
      </c>
      <c r="H21" s="682">
        <v>0.34739999999999999</v>
      </c>
      <c r="J21" s="670" t="s">
        <v>78</v>
      </c>
      <c r="K21" s="684">
        <f>K23*L21</f>
        <v>151118.77513204268</v>
      </c>
      <c r="L21" s="683">
        <v>0.438</v>
      </c>
    </row>
    <row r="22" spans="1:12" ht="21" x14ac:dyDescent="0.4">
      <c r="A22" s="276"/>
      <c r="B22" s="670"/>
      <c r="C22" s="686"/>
      <c r="D22" s="681"/>
      <c r="E22" s="276"/>
      <c r="F22" s="670"/>
      <c r="G22" s="686"/>
      <c r="H22" s="687"/>
      <c r="J22" s="670"/>
      <c r="K22" s="686"/>
      <c r="L22" s="688"/>
    </row>
    <row r="23" spans="1:12" ht="21.6" thickBot="1" x14ac:dyDescent="0.45">
      <c r="A23" s="276"/>
      <c r="B23" s="689" t="s">
        <v>112</v>
      </c>
      <c r="C23" s="673">
        <f>C19/D19</f>
        <v>526208.79628519679</v>
      </c>
      <c r="D23" s="690">
        <f>SUM(D19:D21)</f>
        <v>1</v>
      </c>
      <c r="E23" s="276"/>
      <c r="F23" s="689" t="s">
        <v>112</v>
      </c>
      <c r="G23" s="673">
        <f>G19/H19</f>
        <v>683819.40985596075</v>
      </c>
      <c r="H23" s="691">
        <f>SUM(H19:H21)</f>
        <v>1</v>
      </c>
      <c r="J23" s="689" t="s">
        <v>112</v>
      </c>
      <c r="K23" s="673">
        <f>K19/L19</f>
        <v>345020.03454804263</v>
      </c>
      <c r="L23" s="690">
        <f>SUM(L19:L21)</f>
        <v>1</v>
      </c>
    </row>
    <row r="24" spans="1:12" ht="21.6" thickBot="1" x14ac:dyDescent="0.45">
      <c r="A24" s="276"/>
      <c r="B24" s="662"/>
      <c r="C24" s="663"/>
      <c r="D24" s="276"/>
      <c r="E24" s="276"/>
      <c r="F24" s="662"/>
      <c r="G24" s="663"/>
      <c r="H24" s="276"/>
      <c r="J24" s="662"/>
      <c r="K24" s="663"/>
      <c r="L24" s="276"/>
    </row>
    <row r="25" spans="1:12" ht="42" x14ac:dyDescent="0.4">
      <c r="A25" s="276"/>
      <c r="B25" s="666" t="s">
        <v>154</v>
      </c>
      <c r="C25" s="674">
        <f>C23</f>
        <v>526208.79628519679</v>
      </c>
      <c r="D25" s="276"/>
      <c r="E25" s="276"/>
      <c r="F25" s="666" t="s">
        <v>154</v>
      </c>
      <c r="G25" s="674">
        <f>G23</f>
        <v>683819.40985596075</v>
      </c>
      <c r="H25" s="276"/>
      <c r="J25" s="666" t="s">
        <v>154</v>
      </c>
      <c r="K25" s="674">
        <f>K23</f>
        <v>345020.03454804263</v>
      </c>
      <c r="L25" s="276"/>
    </row>
    <row r="26" spans="1:12" ht="46.8" x14ac:dyDescent="0.45">
      <c r="A26" s="276"/>
      <c r="B26" s="286" t="s">
        <v>127</v>
      </c>
      <c r="C26" s="692">
        <v>7651</v>
      </c>
      <c r="D26" s="276"/>
      <c r="E26" s="276"/>
      <c r="F26" s="286" t="s">
        <v>127</v>
      </c>
      <c r="G26" s="692">
        <v>12021</v>
      </c>
      <c r="H26" s="276"/>
      <c r="J26" s="286" t="s">
        <v>127</v>
      </c>
      <c r="K26" s="692">
        <v>3282</v>
      </c>
      <c r="L26" s="276"/>
    </row>
    <row r="27" spans="1:12" ht="21.6" thickBot="1" x14ac:dyDescent="0.45">
      <c r="A27" s="276"/>
      <c r="B27" s="689" t="s">
        <v>155</v>
      </c>
      <c r="C27" s="673">
        <f>C25/C26</f>
        <v>68.77647317804167</v>
      </c>
      <c r="D27" s="276"/>
      <c r="E27" s="276"/>
      <c r="F27" s="689" t="s">
        <v>155</v>
      </c>
      <c r="G27" s="673">
        <f>G25/G26</f>
        <v>56.885401368934424</v>
      </c>
      <c r="H27" s="276"/>
      <c r="J27" s="689" t="s">
        <v>155</v>
      </c>
      <c r="K27" s="673">
        <f>K25/K26</f>
        <v>105.12493435345601</v>
      </c>
      <c r="L27" s="276"/>
    </row>
    <row r="28" spans="1:12" ht="47.4" thickBot="1" x14ac:dyDescent="0.5">
      <c r="A28" s="276"/>
      <c r="B28" s="315" t="s">
        <v>156</v>
      </c>
      <c r="C28" s="316">
        <f>C27*1.0423</f>
        <v>71.685717993472835</v>
      </c>
      <c r="D28" s="276"/>
      <c r="E28" s="276"/>
      <c r="F28" s="315" t="s">
        <v>156</v>
      </c>
      <c r="G28" s="316">
        <f>G27*1.0423</f>
        <v>59.291653846840347</v>
      </c>
      <c r="H28" s="276"/>
      <c r="J28" s="315" t="s">
        <v>156</v>
      </c>
      <c r="K28" s="316">
        <f>K27*1.0423</f>
        <v>109.57171907660721</v>
      </c>
      <c r="L28" s="276"/>
    </row>
    <row r="29" spans="1:12" ht="21.6" thickBot="1" x14ac:dyDescent="0.45">
      <c r="A29" s="276"/>
      <c r="B29" s="693" t="s">
        <v>117</v>
      </c>
      <c r="C29" s="694">
        <f>C28*1.0207</f>
        <v>73.169612355937716</v>
      </c>
      <c r="D29" s="276"/>
      <c r="E29" s="276"/>
      <c r="F29" s="693" t="s">
        <v>117</v>
      </c>
      <c r="G29" s="694">
        <f>G28*1.0207</f>
        <v>60.518991081469942</v>
      </c>
      <c r="H29" s="276"/>
      <c r="J29" s="693" t="s">
        <v>117</v>
      </c>
      <c r="K29" s="694">
        <f>K28*1.0207</f>
        <v>111.83985366149297</v>
      </c>
      <c r="L29" s="276"/>
    </row>
    <row r="30" spans="1:12" ht="21.6" thickBot="1" x14ac:dyDescent="0.45">
      <c r="A30" s="276"/>
      <c r="B30" s="693" t="s">
        <v>118</v>
      </c>
      <c r="C30" s="695">
        <v>73.28</v>
      </c>
      <c r="D30" s="276"/>
      <c r="E30" s="276"/>
      <c r="F30" s="693" t="s">
        <v>118</v>
      </c>
      <c r="G30" s="695">
        <v>73.28</v>
      </c>
      <c r="H30" s="276"/>
      <c r="J30" s="693" t="s">
        <v>118</v>
      </c>
      <c r="K30" s="695">
        <v>73.28</v>
      </c>
      <c r="L30" s="276"/>
    </row>
    <row r="31" spans="1:12" ht="21.6" thickBot="1" x14ac:dyDescent="0.45">
      <c r="A31" s="276"/>
      <c r="B31" s="693" t="s">
        <v>85</v>
      </c>
      <c r="C31" s="696">
        <v>74.75</v>
      </c>
      <c r="D31" s="276"/>
      <c r="E31" s="276"/>
      <c r="F31" s="693" t="s">
        <v>85</v>
      </c>
      <c r="G31" s="696">
        <v>74.75</v>
      </c>
      <c r="H31" s="276"/>
      <c r="J31" s="693" t="s">
        <v>85</v>
      </c>
      <c r="K31" s="696">
        <v>74.75</v>
      </c>
      <c r="L31" s="276"/>
    </row>
    <row r="32" spans="1:12" ht="21" x14ac:dyDescent="0.4">
      <c r="A32" s="276"/>
      <c r="B32" s="276"/>
      <c r="C32" s="276"/>
      <c r="D32" s="276"/>
      <c r="E32" s="276"/>
      <c r="F32" s="276"/>
      <c r="G32" s="276"/>
      <c r="H32" s="60"/>
      <c r="I32" s="60"/>
    </row>
    <row r="40" spans="6:11" ht="21.6" thickBot="1" x14ac:dyDescent="0.45">
      <c r="F40" s="945" t="s">
        <v>157</v>
      </c>
      <c r="G40" s="945"/>
      <c r="J40" s="945" t="s">
        <v>158</v>
      </c>
      <c r="K40" s="945"/>
    </row>
    <row r="41" spans="6:11" ht="21" x14ac:dyDescent="0.4">
      <c r="F41" s="946" t="s">
        <v>145</v>
      </c>
      <c r="G41" s="658"/>
      <c r="J41" s="946" t="s">
        <v>145</v>
      </c>
      <c r="K41" s="658"/>
    </row>
    <row r="42" spans="6:11" ht="21" x14ac:dyDescent="0.4">
      <c r="F42" s="947"/>
      <c r="G42" s="659"/>
      <c r="J42" s="947"/>
      <c r="K42" s="659"/>
    </row>
    <row r="43" spans="6:11" ht="21.6" thickBot="1" x14ac:dyDescent="0.45">
      <c r="F43" s="948"/>
      <c r="G43" s="697">
        <v>281077.33</v>
      </c>
      <c r="J43" s="948"/>
      <c r="K43" s="697">
        <v>376322.89</v>
      </c>
    </row>
    <row r="44" spans="6:11" ht="21.6" thickBot="1" x14ac:dyDescent="0.45">
      <c r="F44" s="662"/>
      <c r="G44" s="663"/>
      <c r="J44" s="662"/>
      <c r="K44" s="663"/>
    </row>
    <row r="45" spans="6:11" ht="42" x14ac:dyDescent="0.4">
      <c r="F45" s="666" t="s">
        <v>146</v>
      </c>
      <c r="G45" s="667">
        <f>G43</f>
        <v>281077.33</v>
      </c>
      <c r="J45" s="666" t="s">
        <v>146</v>
      </c>
      <c r="K45" s="667">
        <f>K43</f>
        <v>376322.89</v>
      </c>
    </row>
    <row r="46" spans="6:11" ht="21" x14ac:dyDescent="0.4">
      <c r="F46" s="668" t="s">
        <v>159</v>
      </c>
      <c r="G46" s="698">
        <v>0.1178</v>
      </c>
      <c r="J46" s="668" t="s">
        <v>160</v>
      </c>
      <c r="K46" s="698">
        <v>0.11890000000000001</v>
      </c>
    </row>
    <row r="47" spans="6:11" ht="42.6" thickBot="1" x14ac:dyDescent="0.45">
      <c r="F47" s="672" t="s">
        <v>150</v>
      </c>
      <c r="G47" s="673">
        <f>G45*G46</f>
        <v>33110.909474</v>
      </c>
      <c r="J47" s="672" t="s">
        <v>150</v>
      </c>
      <c r="K47" s="673">
        <f>K45*K46</f>
        <v>44744.791621000004</v>
      </c>
    </row>
    <row r="48" spans="6:11" ht="21.6" thickBot="1" x14ac:dyDescent="0.45">
      <c r="F48" s="662"/>
      <c r="G48" s="663"/>
      <c r="J48" s="662"/>
      <c r="K48" s="663"/>
    </row>
    <row r="49" spans="6:12" ht="42" x14ac:dyDescent="0.4">
      <c r="F49" s="666" t="s">
        <v>108</v>
      </c>
      <c r="G49" s="674">
        <f>G45</f>
        <v>281077.33</v>
      </c>
      <c r="J49" s="666" t="s">
        <v>108</v>
      </c>
      <c r="K49" s="674">
        <f>K45</f>
        <v>376322.89</v>
      </c>
    </row>
    <row r="50" spans="6:12" ht="21" x14ac:dyDescent="0.4">
      <c r="F50" s="668" t="s">
        <v>151</v>
      </c>
      <c r="G50" s="675">
        <f>G47</f>
        <v>33110.909474</v>
      </c>
      <c r="J50" s="668" t="s">
        <v>151</v>
      </c>
      <c r="K50" s="675">
        <f>K47</f>
        <v>44744.791621000004</v>
      </c>
    </row>
    <row r="51" spans="6:12" ht="42.6" thickBot="1" x14ac:dyDescent="0.45">
      <c r="F51" s="672" t="s">
        <v>152</v>
      </c>
      <c r="G51" s="673">
        <f>G49+G50</f>
        <v>314188.239474</v>
      </c>
      <c r="J51" s="672" t="s">
        <v>152</v>
      </c>
      <c r="K51" s="673">
        <f>K49+K50</f>
        <v>421067.681621</v>
      </c>
    </row>
    <row r="52" spans="6:12" ht="21.6" thickBot="1" x14ac:dyDescent="0.45">
      <c r="F52" s="662"/>
      <c r="G52" s="663"/>
      <c r="J52" s="662"/>
      <c r="K52" s="663"/>
    </row>
    <row r="53" spans="6:12" ht="42" x14ac:dyDescent="0.4">
      <c r="F53" s="666" t="s">
        <v>153</v>
      </c>
      <c r="G53" s="674">
        <f>G51</f>
        <v>314188.239474</v>
      </c>
      <c r="H53" s="699">
        <v>0.61409999999999998</v>
      </c>
      <c r="J53" s="666" t="s">
        <v>153</v>
      </c>
      <c r="K53" s="674">
        <f>K51</f>
        <v>421067.681621</v>
      </c>
      <c r="L53" s="699">
        <v>0.63270000000000004</v>
      </c>
    </row>
    <row r="54" spans="6:12" ht="21" x14ac:dyDescent="0.4">
      <c r="F54" s="668"/>
      <c r="G54" s="680"/>
      <c r="H54" s="681"/>
      <c r="J54" s="668"/>
      <c r="K54" s="680"/>
      <c r="L54" s="681"/>
    </row>
    <row r="55" spans="6:12" ht="21" x14ac:dyDescent="0.4">
      <c r="F55" s="670" t="s">
        <v>78</v>
      </c>
      <c r="G55" s="684">
        <f>G57*H55</f>
        <v>197435.66457094386</v>
      </c>
      <c r="H55" s="688">
        <v>0.38590000000000002</v>
      </c>
      <c r="J55" s="670" t="s">
        <v>78</v>
      </c>
      <c r="K55" s="684">
        <f>K57*L55</f>
        <v>244441.53541867124</v>
      </c>
      <c r="L55" s="688">
        <v>0.36730000000000002</v>
      </c>
    </row>
    <row r="56" spans="6:12" ht="21" x14ac:dyDescent="0.4">
      <c r="F56" s="670"/>
      <c r="G56" s="686"/>
      <c r="H56" s="681"/>
      <c r="J56" s="670"/>
      <c r="K56" s="686"/>
      <c r="L56" s="681"/>
    </row>
    <row r="57" spans="6:12" ht="21.6" thickBot="1" x14ac:dyDescent="0.45">
      <c r="F57" s="689" t="s">
        <v>112</v>
      </c>
      <c r="G57" s="673">
        <f>G53/H53</f>
        <v>511623.90404494386</v>
      </c>
      <c r="H57" s="690">
        <f>SUM(H53:H55)</f>
        <v>1</v>
      </c>
      <c r="J57" s="689" t="s">
        <v>112</v>
      </c>
      <c r="K57" s="673">
        <f>K53/L53</f>
        <v>665509.21703967114</v>
      </c>
      <c r="L57" s="690">
        <f>SUM(L53:L55)</f>
        <v>1</v>
      </c>
    </row>
    <row r="58" spans="6:12" ht="21.6" thickBot="1" x14ac:dyDescent="0.45">
      <c r="F58" s="662"/>
      <c r="G58" s="663"/>
      <c r="J58" s="662"/>
      <c r="K58" s="663"/>
    </row>
    <row r="59" spans="6:12" ht="42" x14ac:dyDescent="0.4">
      <c r="F59" s="666" t="s">
        <v>154</v>
      </c>
      <c r="G59" s="674">
        <f>G57</f>
        <v>511623.90404494386</v>
      </c>
      <c r="J59" s="666" t="s">
        <v>154</v>
      </c>
      <c r="K59" s="674">
        <f>K57</f>
        <v>665509.21703967114</v>
      </c>
    </row>
    <row r="60" spans="6:12" ht="46.8" x14ac:dyDescent="0.45">
      <c r="F60" s="286" t="s">
        <v>127</v>
      </c>
      <c r="G60" s="700">
        <v>8275</v>
      </c>
      <c r="J60" s="286" t="s">
        <v>127</v>
      </c>
      <c r="K60" s="700">
        <v>8275</v>
      </c>
    </row>
    <row r="61" spans="6:12" ht="21.6" thickBot="1" x14ac:dyDescent="0.45">
      <c r="F61" s="689" t="s">
        <v>155</v>
      </c>
      <c r="G61" s="673">
        <f>G59/G60</f>
        <v>61.827662120234905</v>
      </c>
      <c r="J61" s="689" t="s">
        <v>155</v>
      </c>
      <c r="K61" s="673">
        <f>K59/K60</f>
        <v>80.424074566727626</v>
      </c>
    </row>
    <row r="62" spans="6:12" ht="47.4" thickBot="1" x14ac:dyDescent="0.5">
      <c r="F62" s="315" t="s">
        <v>156</v>
      </c>
      <c r="G62" s="316">
        <f>G61*1.0423</f>
        <v>64.442972227920848</v>
      </c>
      <c r="J62" s="315" t="s">
        <v>156</v>
      </c>
      <c r="K62" s="316">
        <f>K61*1.0423</f>
        <v>83.826012920900212</v>
      </c>
    </row>
    <row r="63" spans="6:12" ht="21.6" thickBot="1" x14ac:dyDescent="0.45">
      <c r="F63" s="693" t="s">
        <v>117</v>
      </c>
      <c r="G63" s="694">
        <f>G62*1.0207</f>
        <v>65.776941753038798</v>
      </c>
      <c r="J63" s="693" t="s">
        <v>117</v>
      </c>
      <c r="K63" s="694">
        <f>K62*1.0207</f>
        <v>85.561211388362835</v>
      </c>
    </row>
    <row r="64" spans="6:12" ht="21.6" thickBot="1" x14ac:dyDescent="0.45">
      <c r="F64" s="693" t="s">
        <v>118</v>
      </c>
      <c r="G64" s="695">
        <v>73.28</v>
      </c>
      <c r="H64" s="701" t="s">
        <v>161</v>
      </c>
      <c r="I64" s="702"/>
      <c r="J64" s="693" t="s">
        <v>118</v>
      </c>
      <c r="K64" s="695">
        <v>73.28</v>
      </c>
      <c r="L64" s="702"/>
    </row>
    <row r="65" spans="6:12" ht="21.6" thickBot="1" x14ac:dyDescent="0.45">
      <c r="F65" s="693" t="s">
        <v>85</v>
      </c>
      <c r="G65" s="696">
        <v>74.75</v>
      </c>
      <c r="H65" s="702"/>
      <c r="I65" s="702"/>
      <c r="J65" s="693" t="s">
        <v>85</v>
      </c>
      <c r="K65" s="696">
        <v>74.75</v>
      </c>
      <c r="L65" s="702"/>
    </row>
  </sheetData>
  <mergeCells count="10">
    <mergeCell ref="F40:G40"/>
    <mergeCell ref="J40:K40"/>
    <mergeCell ref="F41:F43"/>
    <mergeCell ref="J41:J43"/>
    <mergeCell ref="B6:C6"/>
    <mergeCell ref="F6:G6"/>
    <mergeCell ref="J6:K6"/>
    <mergeCell ref="B7:B9"/>
    <mergeCell ref="F7:F9"/>
    <mergeCell ref="J7:J9"/>
  </mergeCells>
  <printOptions headings="1" gridLines="1"/>
  <pageMargins left="0.25" right="0.25" top="0.75" bottom="0.75" header="0.3" footer="0.3"/>
  <pageSetup scale="54" orientation="landscape" r:id="rId1"/>
  <headerFooter>
    <oddFooter>&amp;L&amp;Z&amp;F&amp;C
&amp;P of &amp;N
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458B-7415-40FE-B322-0E8C73EC8ADE}">
  <dimension ref="A1:R72"/>
  <sheetViews>
    <sheetView view="pageBreakPreview" topLeftCell="A16" zoomScale="60" zoomScaleNormal="50" workbookViewId="0">
      <selection activeCell="N28" sqref="N28"/>
    </sheetView>
  </sheetViews>
  <sheetFormatPr defaultRowHeight="14.4" x14ac:dyDescent="0.3"/>
  <cols>
    <col min="1" max="1" width="9.109375" customWidth="1"/>
    <col min="2" max="2" width="65.109375" bestFit="1" customWidth="1"/>
    <col min="3" max="3" width="21.88671875" bestFit="1" customWidth="1"/>
    <col min="4" max="4" width="19" bestFit="1" customWidth="1"/>
    <col min="5" max="5" width="20.6640625" bestFit="1" customWidth="1"/>
    <col min="6" max="6" width="24.44140625" bestFit="1" customWidth="1"/>
    <col min="7" max="8" width="21.88671875" bestFit="1" customWidth="1"/>
    <col min="9" max="9" width="24.44140625" bestFit="1" customWidth="1"/>
    <col min="10" max="10" width="21.88671875" bestFit="1" customWidth="1"/>
    <col min="11" max="11" width="5.88671875" customWidth="1"/>
    <col min="12" max="12" width="16.33203125" bestFit="1" customWidth="1"/>
    <col min="13" max="13" width="15.109375" bestFit="1" customWidth="1"/>
    <col min="14" max="14" width="16.6640625" bestFit="1" customWidth="1"/>
    <col min="15" max="15" width="15.109375" customWidth="1"/>
    <col min="16" max="16" width="13.44140625" bestFit="1" customWidth="1"/>
    <col min="17" max="17" width="12.33203125" bestFit="1" customWidth="1"/>
  </cols>
  <sheetData>
    <row r="1" spans="1:18" ht="23.4" x14ac:dyDescent="0.45">
      <c r="A1" s="75" t="s">
        <v>162</v>
      </c>
      <c r="B1" s="2"/>
      <c r="C1" s="2"/>
      <c r="D1" s="2"/>
      <c r="E1" s="2"/>
      <c r="F1" s="2"/>
      <c r="G1" s="2"/>
      <c r="H1" s="2"/>
      <c r="I1" s="2"/>
      <c r="J1" s="2"/>
      <c r="K1" s="76"/>
    </row>
    <row r="2" spans="1:18" ht="24" thickBot="1" x14ac:dyDescent="0.5">
      <c r="A2" s="75" t="s">
        <v>163</v>
      </c>
      <c r="B2" s="2"/>
      <c r="C2" s="2"/>
      <c r="D2" s="2"/>
      <c r="E2" s="2"/>
      <c r="F2" s="2"/>
      <c r="G2" s="2"/>
      <c r="H2" s="2"/>
      <c r="I2" s="2"/>
      <c r="J2" s="2"/>
      <c r="K2" s="78"/>
    </row>
    <row r="3" spans="1:18" ht="24" thickBot="1" x14ac:dyDescent="0.5">
      <c r="A3" s="76"/>
      <c r="B3" s="338" t="s">
        <v>52</v>
      </c>
      <c r="C3" s="343" t="s">
        <v>47</v>
      </c>
      <c r="D3" s="339" t="s">
        <v>53</v>
      </c>
      <c r="E3" s="339" t="s">
        <v>54</v>
      </c>
      <c r="F3" s="339" t="s">
        <v>42</v>
      </c>
      <c r="G3" s="339" t="s">
        <v>44</v>
      </c>
      <c r="H3" s="703" t="s">
        <v>45</v>
      </c>
      <c r="I3" s="347" t="s">
        <v>55</v>
      </c>
      <c r="J3" s="348" t="s">
        <v>48</v>
      </c>
      <c r="K3" s="86"/>
      <c r="R3" s="87" t="s">
        <v>56</v>
      </c>
    </row>
    <row r="4" spans="1:18" ht="23.4" x14ac:dyDescent="0.45">
      <c r="A4" s="76"/>
      <c r="B4" s="349" t="s">
        <v>164</v>
      </c>
      <c r="C4" s="354"/>
      <c r="D4" s="350"/>
      <c r="E4" s="350"/>
      <c r="F4" s="350"/>
      <c r="G4" s="350"/>
      <c r="H4" s="350"/>
      <c r="I4" s="358"/>
      <c r="J4" s="358"/>
      <c r="K4" s="93"/>
    </row>
    <row r="5" spans="1:18" ht="24" thickBot="1" x14ac:dyDescent="0.5">
      <c r="A5" s="76"/>
      <c r="B5" s="359"/>
      <c r="C5" s="360"/>
      <c r="D5" s="360"/>
      <c r="E5" s="360"/>
      <c r="F5" s="360"/>
      <c r="G5" s="360"/>
      <c r="H5" s="360"/>
      <c r="I5" s="364"/>
      <c r="J5" s="364"/>
      <c r="K5" s="93"/>
    </row>
    <row r="6" spans="1:18" ht="47.4" thickBot="1" x14ac:dyDescent="0.5">
      <c r="A6" s="76" t="s">
        <v>58</v>
      </c>
      <c r="B6" s="365" t="s">
        <v>165</v>
      </c>
      <c r="C6" s="366">
        <v>355436</v>
      </c>
      <c r="D6" s="366">
        <v>48817.38</v>
      </c>
      <c r="E6" s="366">
        <v>311483.11</v>
      </c>
      <c r="F6" s="366">
        <v>483009.35</v>
      </c>
      <c r="G6" s="366">
        <v>162720.34</v>
      </c>
      <c r="H6" s="366">
        <v>355403.08</v>
      </c>
      <c r="I6" s="374">
        <f>SUM(C6:D6,F6:H6)</f>
        <v>1405386.1500000001</v>
      </c>
      <c r="J6" s="704">
        <f>AVERAGE(C6:H6)</f>
        <v>286144.87666666665</v>
      </c>
      <c r="K6" s="93"/>
      <c r="L6" s="521">
        <f>AVERAGE(C6:H6)</f>
        <v>286144.87666666665</v>
      </c>
      <c r="M6" s="521">
        <f>STDEVPA(C6:H6)</f>
        <v>141747.1706692763</v>
      </c>
      <c r="N6" s="222">
        <f>L6+M6</f>
        <v>427892.04733594297</v>
      </c>
      <c r="O6" s="222">
        <f>L6-M6</f>
        <v>144397.70599739035</v>
      </c>
    </row>
    <row r="7" spans="1:18" ht="23.4" x14ac:dyDescent="0.45">
      <c r="A7" s="76" t="s">
        <v>60</v>
      </c>
      <c r="B7" s="365" t="s">
        <v>166</v>
      </c>
      <c r="C7" s="377">
        <v>411936</v>
      </c>
      <c r="D7" s="377">
        <v>64550.38</v>
      </c>
      <c r="E7" s="377">
        <v>324411.09000000003</v>
      </c>
      <c r="F7" s="377">
        <v>575304.35</v>
      </c>
      <c r="G7" s="377">
        <v>195929.34</v>
      </c>
      <c r="H7" s="377">
        <v>355403.08</v>
      </c>
      <c r="I7" s="374">
        <f>SUM(C7:D7,F7:H7)</f>
        <v>1603123.1500000001</v>
      </c>
      <c r="J7" s="382"/>
      <c r="K7" s="93"/>
    </row>
    <row r="8" spans="1:18" ht="24" thickBot="1" x14ac:dyDescent="0.5">
      <c r="A8" s="76"/>
      <c r="B8" s="385" t="s">
        <v>62</v>
      </c>
      <c r="C8" s="386">
        <f>C6/C7</f>
        <v>0.86284277169269008</v>
      </c>
      <c r="D8" s="386">
        <f t="shared" ref="D8:H8" si="0">D6/D7</f>
        <v>0.75626789493725677</v>
      </c>
      <c r="E8" s="386">
        <f t="shared" si="0"/>
        <v>0.96014938946754247</v>
      </c>
      <c r="F8" s="386">
        <f t="shared" si="0"/>
        <v>0.83957187182749449</v>
      </c>
      <c r="G8" s="386">
        <f t="shared" si="0"/>
        <v>0.83050522193358078</v>
      </c>
      <c r="H8" s="386">
        <f t="shared" si="0"/>
        <v>1</v>
      </c>
      <c r="I8" s="393"/>
      <c r="J8" s="393"/>
      <c r="K8" s="93"/>
    </row>
    <row r="9" spans="1:18" ht="24" thickBot="1" x14ac:dyDescent="0.5">
      <c r="A9" s="76" t="s">
        <v>63</v>
      </c>
      <c r="B9" s="394" t="s">
        <v>167</v>
      </c>
      <c r="C9" s="395">
        <v>80419</v>
      </c>
      <c r="D9" s="395">
        <v>17309.43</v>
      </c>
      <c r="E9" s="395">
        <v>78336.86</v>
      </c>
      <c r="F9" s="395">
        <v>190220</v>
      </c>
      <c r="G9" s="395">
        <v>47431.57</v>
      </c>
      <c r="H9" s="395">
        <v>61784.95</v>
      </c>
      <c r="I9" s="374">
        <f>SUM(C9,E9,G9:H9)</f>
        <v>267972.38</v>
      </c>
      <c r="J9" s="705"/>
      <c r="K9" s="93"/>
    </row>
    <row r="10" spans="1:18" ht="23.4" x14ac:dyDescent="0.45">
      <c r="A10" s="76"/>
      <c r="B10" s="399" t="s">
        <v>65</v>
      </c>
      <c r="C10" s="400">
        <f>C8*C9</f>
        <v>69388.952856754448</v>
      </c>
      <c r="D10" s="400">
        <f>D8*D9</f>
        <v>13090.566188663801</v>
      </c>
      <c r="E10" s="400">
        <f>E8*E9</f>
        <v>75215.088301804353</v>
      </c>
      <c r="F10" s="400">
        <f>F8*F9</f>
        <v>159703.361459026</v>
      </c>
      <c r="G10" s="400">
        <f t="shared" ref="G10:H10" si="1">G8*G9</f>
        <v>39392.166569508176</v>
      </c>
      <c r="H10" s="400">
        <f t="shared" si="1"/>
        <v>61784.95</v>
      </c>
      <c r="I10" s="404"/>
      <c r="J10" s="384">
        <f>AVERAGE(C10:H10)</f>
        <v>69762.514229292792</v>
      </c>
      <c r="K10" s="93"/>
      <c r="L10" s="706">
        <f>AVERAGE(C10:H10)</f>
        <v>69762.514229292792</v>
      </c>
    </row>
    <row r="11" spans="1:18" ht="47.4" thickBot="1" x14ac:dyDescent="0.5">
      <c r="A11" s="76"/>
      <c r="B11" s="394" t="s">
        <v>168</v>
      </c>
      <c r="C11" s="400">
        <f>C6+C10</f>
        <v>424824.95285675442</v>
      </c>
      <c r="D11" s="400">
        <f t="shared" ref="D11:H11" si="2">D6+D10</f>
        <v>61907.946188663802</v>
      </c>
      <c r="E11" s="400">
        <f t="shared" si="2"/>
        <v>386698.19830180437</v>
      </c>
      <c r="F11" s="400">
        <f t="shared" si="2"/>
        <v>642712.71145902597</v>
      </c>
      <c r="G11" s="400">
        <f t="shared" si="2"/>
        <v>202112.50656950817</v>
      </c>
      <c r="H11" s="400">
        <f t="shared" si="2"/>
        <v>417188.03</v>
      </c>
      <c r="I11" s="404"/>
      <c r="J11" s="404">
        <f>AVERAGE(C11:H11)</f>
        <v>355907.39089595946</v>
      </c>
      <c r="K11" s="93"/>
      <c r="L11" s="406"/>
      <c r="M11" s="407"/>
      <c r="N11" s="407"/>
    </row>
    <row r="12" spans="1:18" ht="23.4" x14ac:dyDescent="0.45">
      <c r="A12" s="76" t="s">
        <v>68</v>
      </c>
      <c r="B12" s="394" t="s">
        <v>169</v>
      </c>
      <c r="C12" s="395">
        <v>652697</v>
      </c>
      <c r="D12" s="395">
        <v>124028.73</v>
      </c>
      <c r="E12" s="395">
        <v>674659.02</v>
      </c>
      <c r="F12" s="395">
        <v>1004678.7</v>
      </c>
      <c r="G12" s="395">
        <v>329317.96999999997</v>
      </c>
      <c r="H12" s="395">
        <v>625371.49</v>
      </c>
      <c r="I12" s="705">
        <f>SUM(C12,E12,G12:H12)</f>
        <v>2282045.48</v>
      </c>
      <c r="J12" s="384">
        <f>AVERAGE(C12:H12)</f>
        <v>568458.81833333336</v>
      </c>
      <c r="K12" s="93"/>
      <c r="L12" s="706">
        <f>AVERAGE(C12:H12)</f>
        <v>568458.81833333336</v>
      </c>
      <c r="M12" s="376"/>
      <c r="N12" s="376"/>
    </row>
    <row r="13" spans="1:18" ht="23.4" x14ac:dyDescent="0.45">
      <c r="A13" s="76"/>
      <c r="B13" s="349"/>
      <c r="C13" s="412"/>
      <c r="D13" s="400"/>
      <c r="E13" s="400"/>
      <c r="F13" s="408"/>
      <c r="G13" s="408"/>
      <c r="H13" s="408"/>
      <c r="I13" s="415"/>
      <c r="J13" s="415"/>
      <c r="K13" s="93"/>
    </row>
    <row r="14" spans="1:18" ht="23.4" x14ac:dyDescent="0.45">
      <c r="A14" s="115"/>
      <c r="B14" s="349"/>
      <c r="C14" s="420"/>
      <c r="D14" s="416"/>
      <c r="E14" s="416"/>
      <c r="F14" s="416"/>
      <c r="G14" s="416"/>
      <c r="H14" s="416"/>
      <c r="I14" s="422"/>
      <c r="J14" s="422"/>
      <c r="K14" s="93"/>
    </row>
    <row r="15" spans="1:18" ht="46.8" x14ac:dyDescent="0.45">
      <c r="A15" s="120"/>
      <c r="B15" s="424" t="s">
        <v>170</v>
      </c>
      <c r="C15" s="429">
        <f>C11/C12</f>
        <v>0.6508762149309012</v>
      </c>
      <c r="D15" s="425">
        <f t="shared" ref="D15:H15" si="3">D11/D12</f>
        <v>0.49914198257664821</v>
      </c>
      <c r="E15" s="425">
        <f t="shared" si="3"/>
        <v>0.57317576262717773</v>
      </c>
      <c r="F15" s="425">
        <f t="shared" si="3"/>
        <v>0.63971965510866913</v>
      </c>
      <c r="G15" s="425">
        <f t="shared" si="3"/>
        <v>0.61373057343183612</v>
      </c>
      <c r="H15" s="425">
        <f t="shared" si="3"/>
        <v>0.66710433185881246</v>
      </c>
      <c r="I15" s="431"/>
      <c r="J15" s="707">
        <f>AVERAGE(C15:H15)</f>
        <v>0.60729142008900749</v>
      </c>
      <c r="K15" s="93"/>
      <c r="L15" s="253">
        <f>AVERAGE(C15:H15)</f>
        <v>0.60729142008900749</v>
      </c>
    </row>
    <row r="16" spans="1:18" ht="23.4" x14ac:dyDescent="0.45">
      <c r="A16" s="115"/>
      <c r="B16" s="434"/>
      <c r="C16" s="439"/>
      <c r="D16" s="435"/>
      <c r="E16" s="435"/>
      <c r="F16" s="435"/>
      <c r="G16" s="435"/>
      <c r="H16" s="435"/>
      <c r="I16" s="443"/>
      <c r="J16" s="444"/>
      <c r="K16" s="93"/>
      <c r="L16" s="253"/>
    </row>
    <row r="17" spans="1:15" ht="46.8" x14ac:dyDescent="0.45">
      <c r="A17" s="115"/>
      <c r="B17" s="434" t="s">
        <v>138</v>
      </c>
      <c r="C17" s="439">
        <f>C10/C12</f>
        <v>0.10631112577008082</v>
      </c>
      <c r="D17" s="439">
        <f t="shared" ref="D17:H17" si="4">D10/D12</f>
        <v>0.10554462815723262</v>
      </c>
      <c r="E17" s="439">
        <f t="shared" si="4"/>
        <v>0.11148607825891715</v>
      </c>
      <c r="F17" s="439">
        <f t="shared" si="4"/>
        <v>0.158959637005369</v>
      </c>
      <c r="G17" s="439">
        <f t="shared" si="4"/>
        <v>0.1196174219387669</v>
      </c>
      <c r="H17" s="439">
        <f t="shared" si="4"/>
        <v>9.8797196527139405E-2</v>
      </c>
      <c r="I17" s="443"/>
      <c r="J17" s="708">
        <f>AVERAGE(C17:H17)</f>
        <v>0.11678601460958431</v>
      </c>
      <c r="K17" s="93"/>
      <c r="L17" s="253"/>
    </row>
    <row r="18" spans="1:15" ht="15.75" customHeight="1" thickBot="1" x14ac:dyDescent="0.4">
      <c r="A18" s="134"/>
      <c r="B18" s="467"/>
      <c r="C18" s="472"/>
      <c r="D18" s="468"/>
      <c r="E18" s="468"/>
      <c r="F18" s="468"/>
      <c r="G18" s="468"/>
      <c r="H18" s="468"/>
      <c r="I18" s="471"/>
      <c r="J18" s="470"/>
      <c r="K18" s="93"/>
    </row>
    <row r="19" spans="1:15" ht="23.25" customHeight="1" thickBot="1" x14ac:dyDescent="0.4">
      <c r="A19" s="134"/>
      <c r="B19" s="476" t="s">
        <v>76</v>
      </c>
      <c r="C19" s="481">
        <f>C11</f>
        <v>424824.95285675442</v>
      </c>
      <c r="D19" s="481">
        <f t="shared" ref="D19:H19" si="5">D11</f>
        <v>61907.946188663802</v>
      </c>
      <c r="E19" s="481">
        <f t="shared" si="5"/>
        <v>386698.19830180437</v>
      </c>
      <c r="F19" s="481">
        <f t="shared" si="5"/>
        <v>642712.71145902597</v>
      </c>
      <c r="G19" s="481">
        <f t="shared" si="5"/>
        <v>202112.50656950817</v>
      </c>
      <c r="H19" s="481">
        <f t="shared" si="5"/>
        <v>417188.03</v>
      </c>
      <c r="I19" s="485">
        <f>SUM(C19:H19)</f>
        <v>2135444.3453757567</v>
      </c>
      <c r="J19" s="486">
        <f>AVERAGE(C19:H19)</f>
        <v>355907.39089595946</v>
      </c>
      <c r="K19" s="93"/>
    </row>
    <row r="20" spans="1:15" ht="15.75" customHeight="1" thickBot="1" x14ac:dyDescent="0.4">
      <c r="A20" s="134"/>
      <c r="B20" s="467"/>
      <c r="C20" s="491"/>
      <c r="D20" s="487"/>
      <c r="E20" s="487"/>
      <c r="F20" s="487"/>
      <c r="G20" s="487"/>
      <c r="H20" s="487"/>
      <c r="I20" s="472"/>
      <c r="J20" s="468"/>
      <c r="K20" s="156"/>
    </row>
    <row r="21" spans="1:15" ht="47.4" thickBot="1" x14ac:dyDescent="0.5">
      <c r="A21" s="134"/>
      <c r="B21" s="495" t="s">
        <v>77</v>
      </c>
      <c r="C21" s="500">
        <f t="shared" ref="C21:H21" si="6">C19/C12</f>
        <v>0.6508762149309012</v>
      </c>
      <c r="D21" s="496">
        <f t="shared" si="6"/>
        <v>0.49914198257664821</v>
      </c>
      <c r="E21" s="496">
        <f t="shared" si="6"/>
        <v>0.57317576262717773</v>
      </c>
      <c r="F21" s="496">
        <f t="shared" si="6"/>
        <v>0.63971965510866913</v>
      </c>
      <c r="G21" s="496">
        <f t="shared" si="6"/>
        <v>0.61373057343183612</v>
      </c>
      <c r="H21" s="496">
        <f t="shared" si="6"/>
        <v>0.66710433185881246</v>
      </c>
      <c r="I21" s="500"/>
      <c r="J21" s="709">
        <f>AVERAGE(C21:H21)</f>
        <v>0.60729142008900749</v>
      </c>
      <c r="K21" s="156"/>
    </row>
    <row r="22" spans="1:15" ht="24" thickBot="1" x14ac:dyDescent="0.5">
      <c r="A22" s="115"/>
      <c r="B22" s="504"/>
      <c r="C22" s="508"/>
      <c r="D22" s="505"/>
      <c r="E22" s="505"/>
      <c r="F22" s="505"/>
      <c r="G22" s="505"/>
      <c r="H22" s="505"/>
      <c r="I22" s="508"/>
      <c r="J22" s="505"/>
      <c r="K22" s="165"/>
    </row>
    <row r="23" spans="1:15" ht="23.25" customHeight="1" thickBot="1" x14ac:dyDescent="0.5">
      <c r="A23" s="115"/>
      <c r="B23" s="512" t="s">
        <v>78</v>
      </c>
      <c r="C23" s="513">
        <f t="shared" ref="C23:H23" si="7">C12-C19</f>
        <v>227872.04714324558</v>
      </c>
      <c r="D23" s="513">
        <f t="shared" si="7"/>
        <v>62120.783811336194</v>
      </c>
      <c r="E23" s="513">
        <f t="shared" si="7"/>
        <v>287960.82169819565</v>
      </c>
      <c r="F23" s="513">
        <f t="shared" si="7"/>
        <v>361965.98854097398</v>
      </c>
      <c r="G23" s="513">
        <f t="shared" si="7"/>
        <v>127205.4634304918</v>
      </c>
      <c r="H23" s="513">
        <f t="shared" si="7"/>
        <v>208183.45999999996</v>
      </c>
      <c r="I23" s="516">
        <f>SUM(C23:H23)</f>
        <v>1275308.5646242432</v>
      </c>
      <c r="J23" s="516">
        <f>AVERAGE(C23:H23)</f>
        <v>212551.42743737387</v>
      </c>
      <c r="K23" s="170"/>
      <c r="L23" s="521">
        <f>AVERAGE(C23:H23)</f>
        <v>212551.42743737387</v>
      </c>
      <c r="M23" s="521">
        <f>STDEVPA(C23:H23)</f>
        <v>98470.300475388125</v>
      </c>
      <c r="N23" s="222">
        <f>L23+M23</f>
        <v>311021.72791276197</v>
      </c>
      <c r="O23" s="222">
        <f>L23-M23</f>
        <v>114081.12696198575</v>
      </c>
    </row>
    <row r="24" spans="1:15" ht="23.25" customHeight="1" x14ac:dyDescent="0.45">
      <c r="A24" s="115"/>
      <c r="B24" s="710"/>
      <c r="C24" s="711"/>
      <c r="D24" s="712"/>
      <c r="E24" s="712"/>
      <c r="F24" s="712"/>
      <c r="G24" s="712"/>
      <c r="H24" s="712"/>
      <c r="I24" s="713"/>
      <c r="J24" s="714"/>
      <c r="K24" s="170"/>
      <c r="L24" s="521"/>
      <c r="M24" s="521"/>
      <c r="N24" s="222"/>
      <c r="O24" s="222"/>
    </row>
    <row r="25" spans="1:15" ht="46.8" x14ac:dyDescent="0.45">
      <c r="A25" s="115"/>
      <c r="B25" s="715" t="s">
        <v>171</v>
      </c>
      <c r="C25" s="716">
        <f>C23/C12</f>
        <v>0.3491237850690988</v>
      </c>
      <c r="D25" s="716">
        <f t="shared" ref="D25:H25" si="8">D23/D12</f>
        <v>0.50085801742335179</v>
      </c>
      <c r="E25" s="717">
        <f t="shared" si="8"/>
        <v>0.42682423737282227</v>
      </c>
      <c r="F25" s="716">
        <f t="shared" si="8"/>
        <v>0.36028034489133093</v>
      </c>
      <c r="G25" s="716">
        <f t="shared" si="8"/>
        <v>0.38626942656816393</v>
      </c>
      <c r="H25" s="716">
        <f t="shared" si="8"/>
        <v>0.33289566814118754</v>
      </c>
      <c r="I25" s="718"/>
      <c r="J25" s="719">
        <f>AVERAGE(C25:H25)</f>
        <v>0.39270857991099256</v>
      </c>
      <c r="K25" s="170"/>
      <c r="L25" s="521"/>
      <c r="M25" s="521"/>
      <c r="N25" s="222"/>
      <c r="O25" s="222"/>
    </row>
    <row r="26" spans="1:15" ht="24" thickBot="1" x14ac:dyDescent="0.5">
      <c r="A26" s="115"/>
      <c r="B26" s="504"/>
      <c r="C26" s="526"/>
      <c r="D26" s="522"/>
      <c r="E26" s="522"/>
      <c r="F26" s="522"/>
      <c r="G26" s="522"/>
      <c r="H26" s="522"/>
      <c r="I26" s="525"/>
      <c r="J26" s="530"/>
      <c r="K26" s="170"/>
    </row>
    <row r="27" spans="1:15" ht="22.5" customHeight="1" thickBot="1" x14ac:dyDescent="0.5">
      <c r="A27" s="115"/>
      <c r="B27" s="538" t="s">
        <v>79</v>
      </c>
      <c r="C27" s="543">
        <f t="shared" ref="C27:H27" si="9">C10</f>
        <v>69388.952856754448</v>
      </c>
      <c r="D27" s="539">
        <f t="shared" si="9"/>
        <v>13090.566188663801</v>
      </c>
      <c r="E27" s="539">
        <f t="shared" si="9"/>
        <v>75215.088301804353</v>
      </c>
      <c r="F27" s="539">
        <f t="shared" si="9"/>
        <v>159703.361459026</v>
      </c>
      <c r="G27" s="539">
        <f t="shared" si="9"/>
        <v>39392.166569508176</v>
      </c>
      <c r="H27" s="539">
        <f t="shared" si="9"/>
        <v>61784.95</v>
      </c>
      <c r="I27" s="542">
        <f>SUM(C27:H27)</f>
        <v>418575.08537575678</v>
      </c>
      <c r="J27" s="542">
        <f>AVERAGE(C27:H27)</f>
        <v>69762.514229292792</v>
      </c>
      <c r="K27" s="170"/>
      <c r="L27" s="547">
        <f>AVERAGE(C27:H27)</f>
        <v>69762.514229292792</v>
      </c>
      <c r="M27" s="76">
        <f>STDEVPA(C27:H27)</f>
        <v>45308.084920990135</v>
      </c>
      <c r="N27" s="548">
        <f>L27+M27</f>
        <v>115070.59915028293</v>
      </c>
      <c r="O27" s="548">
        <f>L27-M27</f>
        <v>24454.429308302657</v>
      </c>
    </row>
    <row r="28" spans="1:15" ht="24" thickBot="1" x14ac:dyDescent="0.5">
      <c r="A28" s="115"/>
      <c r="B28" s="504"/>
      <c r="C28" s="526"/>
      <c r="D28" s="522"/>
      <c r="E28" s="522"/>
      <c r="F28" s="522"/>
      <c r="G28" s="522"/>
      <c r="H28" s="522"/>
      <c r="I28" s="525"/>
      <c r="J28" s="530"/>
      <c r="K28" s="170"/>
    </row>
    <row r="29" spans="1:15" ht="25.5" customHeight="1" thickBot="1" x14ac:dyDescent="0.5">
      <c r="A29" s="115"/>
      <c r="B29" s="512" t="s">
        <v>81</v>
      </c>
      <c r="C29" s="553">
        <f t="shared" ref="C29:H29" si="10">C10/C11</f>
        <v>0.16333539823907547</v>
      </c>
      <c r="D29" s="549">
        <f t="shared" si="10"/>
        <v>0.2114521155130949</v>
      </c>
      <c r="E29" s="549">
        <f t="shared" si="10"/>
        <v>0.1945059186520999</v>
      </c>
      <c r="F29" s="549">
        <f t="shared" si="10"/>
        <v>0.24848327816091026</v>
      </c>
      <c r="G29" s="549">
        <f t="shared" si="10"/>
        <v>0.19490217225108175</v>
      </c>
      <c r="H29" s="549">
        <f t="shared" si="10"/>
        <v>0.14809856840811084</v>
      </c>
      <c r="I29" s="556"/>
      <c r="J29" s="557">
        <f>AVERAGE(C29:H29)</f>
        <v>0.19346290853739553</v>
      </c>
      <c r="K29" s="170"/>
    </row>
    <row r="30" spans="1:15" ht="23.4" x14ac:dyDescent="0.45">
      <c r="A30" s="115"/>
      <c r="B30" s="558"/>
      <c r="C30" s="563"/>
      <c r="D30" s="559"/>
      <c r="E30" s="559"/>
      <c r="F30" s="559"/>
      <c r="G30" s="559"/>
      <c r="H30" s="559"/>
      <c r="I30" s="567"/>
      <c r="J30" s="568"/>
      <c r="K30" s="170"/>
    </row>
    <row r="31" spans="1:15" ht="23.4" x14ac:dyDescent="0.45">
      <c r="A31" s="115"/>
      <c r="B31" s="349"/>
      <c r="C31" s="573"/>
      <c r="D31" s="569"/>
      <c r="E31" s="569"/>
      <c r="F31" s="569"/>
      <c r="G31" s="569"/>
      <c r="H31" s="569"/>
      <c r="I31" s="507"/>
      <c r="J31" s="321"/>
      <c r="K31" s="170"/>
    </row>
    <row r="32" spans="1:15" ht="23.4" x14ac:dyDescent="0.45">
      <c r="A32" s="208"/>
      <c r="B32" s="577" t="s">
        <v>82</v>
      </c>
      <c r="C32" s="582"/>
      <c r="D32" s="578"/>
      <c r="E32" s="578"/>
      <c r="F32" s="578"/>
      <c r="G32" s="578"/>
      <c r="H32" s="578"/>
      <c r="I32" s="586"/>
      <c r="J32" s="587"/>
      <c r="K32" s="170"/>
    </row>
    <row r="33" spans="1:15" ht="23.4" x14ac:dyDescent="0.45">
      <c r="A33" s="208"/>
      <c r="B33" s="588" t="s">
        <v>83</v>
      </c>
      <c r="C33" s="593">
        <v>65.319999999999993</v>
      </c>
      <c r="D33" s="589">
        <v>100.4</v>
      </c>
      <c r="E33" s="589">
        <v>134.01</v>
      </c>
      <c r="F33" s="589">
        <v>69.099999999999994</v>
      </c>
      <c r="G33" s="589">
        <v>72.040000000000006</v>
      </c>
      <c r="H33" s="589">
        <v>61.97</v>
      </c>
      <c r="I33" s="597"/>
      <c r="J33" s="598">
        <f>AVERAGE(C33,D33,F33,G33,H33)</f>
        <v>73.766000000000005</v>
      </c>
      <c r="K33" s="221"/>
      <c r="L33" s="222">
        <f>AVERAGE(C33:H33)</f>
        <v>83.806666666666672</v>
      </c>
      <c r="M33">
        <f>STDEVPA(C33:H33)</f>
        <v>25.719806678036182</v>
      </c>
      <c r="N33" s="222">
        <f>L33+M33</f>
        <v>109.52647334470285</v>
      </c>
      <c r="O33" s="222">
        <f>L33-M33</f>
        <v>58.086859988630493</v>
      </c>
    </row>
    <row r="34" spans="1:15" ht="23.4" x14ac:dyDescent="0.45">
      <c r="A34" s="208"/>
      <c r="B34" s="349" t="s">
        <v>84</v>
      </c>
      <c r="C34" s="603">
        <v>66.2</v>
      </c>
      <c r="D34" s="599">
        <v>117.79</v>
      </c>
      <c r="E34" s="599">
        <v>148.87</v>
      </c>
      <c r="F34" s="599">
        <v>65.97</v>
      </c>
      <c r="G34" s="599">
        <v>77.3</v>
      </c>
      <c r="H34" s="599">
        <v>56.99</v>
      </c>
      <c r="I34" s="602"/>
      <c r="J34" s="606">
        <f>AVERAGE(C34,D34,F34,G34,H34)</f>
        <v>76.849999999999994</v>
      </c>
      <c r="K34" s="221"/>
      <c r="L34" s="222">
        <f>AVERAGE(C34:H34)</f>
        <v>88.853333333333339</v>
      </c>
      <c r="M34">
        <f>STDEVPA(C34:H34)</f>
        <v>33.228759966163175</v>
      </c>
      <c r="N34" s="222">
        <f>L34+M34</f>
        <v>122.08209329949651</v>
      </c>
      <c r="O34" s="222">
        <f>L34-M34</f>
        <v>55.624573367170164</v>
      </c>
    </row>
    <row r="35" spans="1:15" ht="24" thickBot="1" x14ac:dyDescent="0.5">
      <c r="A35" s="76"/>
      <c r="B35" s="607" t="s">
        <v>118</v>
      </c>
      <c r="C35" s="612">
        <v>73.28</v>
      </c>
      <c r="D35" s="608">
        <v>73.28</v>
      </c>
      <c r="E35" s="608">
        <v>73.28</v>
      </c>
      <c r="F35" s="608">
        <v>66.8</v>
      </c>
      <c r="G35" s="608">
        <v>73.28</v>
      </c>
      <c r="H35" s="608">
        <v>73.28</v>
      </c>
      <c r="I35" s="611"/>
      <c r="J35" s="616"/>
      <c r="K35" s="221"/>
    </row>
    <row r="36" spans="1:15" ht="23.4" x14ac:dyDescent="0.45">
      <c r="A36" s="76"/>
      <c r="B36" s="617" t="s">
        <v>87</v>
      </c>
      <c r="C36" s="622">
        <v>419006</v>
      </c>
      <c r="D36" s="618">
        <v>48710</v>
      </c>
      <c r="E36" s="618">
        <v>573333</v>
      </c>
      <c r="F36" s="618">
        <v>554894</v>
      </c>
      <c r="G36" s="618">
        <v>106486</v>
      </c>
      <c r="H36" s="618">
        <v>510572</v>
      </c>
      <c r="I36" s="626">
        <f>SUM(C36:H36)</f>
        <v>2213001</v>
      </c>
      <c r="J36" s="39">
        <f>AVERAGE(C36:H36)</f>
        <v>368833.5</v>
      </c>
      <c r="K36" s="221"/>
    </row>
    <row r="37" spans="1:15" ht="24" thickBot="1" x14ac:dyDescent="0.5">
      <c r="A37" s="76"/>
      <c r="B37" s="365" t="s">
        <v>88</v>
      </c>
      <c r="C37" s="631">
        <v>307714</v>
      </c>
      <c r="D37" s="627">
        <v>34823</v>
      </c>
      <c r="E37" s="627">
        <v>245832</v>
      </c>
      <c r="F37" s="627">
        <v>464891</v>
      </c>
      <c r="G37" s="627">
        <v>155938</v>
      </c>
      <c r="H37" s="627">
        <v>272609</v>
      </c>
      <c r="I37" s="635">
        <f>SUM(C37:H37)</f>
        <v>1481807</v>
      </c>
      <c r="J37" s="636">
        <f>AVERAGE(C37:H37)</f>
        <v>246967.83333333334</v>
      </c>
      <c r="K37" s="221"/>
    </row>
    <row r="38" spans="1:15" ht="24.6" thickTop="1" thickBot="1" x14ac:dyDescent="0.5">
      <c r="A38" s="76"/>
      <c r="B38" s="637" t="s">
        <v>89</v>
      </c>
      <c r="C38" s="642">
        <f>SUM(C36:C37)</f>
        <v>726720</v>
      </c>
      <c r="D38" s="638">
        <f t="shared" ref="D38:H38" si="11">SUM(D36:D37)</f>
        <v>83533</v>
      </c>
      <c r="E38" s="638">
        <f t="shared" si="11"/>
        <v>819165</v>
      </c>
      <c r="F38" s="638">
        <f t="shared" si="11"/>
        <v>1019785</v>
      </c>
      <c r="G38" s="638">
        <f t="shared" si="11"/>
        <v>262424</v>
      </c>
      <c r="H38" s="638">
        <f t="shared" si="11"/>
        <v>783181</v>
      </c>
      <c r="I38" s="646">
        <f>SUM(C38:H38)</f>
        <v>3694808</v>
      </c>
      <c r="J38" s="642">
        <f>AVERAGE(C38:H38)</f>
        <v>615801.33333333337</v>
      </c>
      <c r="K38" s="251"/>
    </row>
    <row r="40" spans="1:15" x14ac:dyDescent="0.3">
      <c r="B40" s="252"/>
    </row>
    <row r="41" spans="1:15" x14ac:dyDescent="0.3">
      <c r="C41" s="253"/>
    </row>
    <row r="42" spans="1:15" x14ac:dyDescent="0.3">
      <c r="B42" s="255"/>
    </row>
    <row r="45" spans="1:15" ht="15.75" customHeight="1" x14ac:dyDescent="0.3">
      <c r="A45" s="257"/>
      <c r="B45" s="258"/>
      <c r="C45" s="258"/>
      <c r="D45" s="258"/>
      <c r="E45" s="258"/>
      <c r="F45" s="258"/>
      <c r="G45" s="258"/>
      <c r="H45" s="258"/>
      <c r="I45" s="260"/>
      <c r="J45" s="257"/>
    </row>
    <row r="46" spans="1:15" x14ac:dyDescent="0.3">
      <c r="A46" s="261"/>
      <c r="B46" s="258"/>
      <c r="C46" s="262"/>
      <c r="D46" s="262"/>
      <c r="E46" s="262"/>
      <c r="F46" s="262"/>
      <c r="G46" s="262"/>
      <c r="H46" s="262"/>
      <c r="I46" s="264"/>
      <c r="J46" s="257"/>
    </row>
    <row r="47" spans="1:15" x14ac:dyDescent="0.3">
      <c r="A47" s="261"/>
      <c r="B47" s="258"/>
      <c r="C47" s="262"/>
      <c r="D47" s="262"/>
      <c r="E47" s="262"/>
      <c r="F47" s="262"/>
      <c r="G47" s="262"/>
      <c r="H47" s="262"/>
      <c r="I47" s="262"/>
      <c r="J47" s="257"/>
    </row>
    <row r="48" spans="1:15" x14ac:dyDescent="0.3">
      <c r="A48" s="261"/>
      <c r="B48" s="258"/>
      <c r="C48" s="259"/>
      <c r="D48" s="259"/>
      <c r="E48" s="259"/>
      <c r="F48" s="259"/>
      <c r="G48" s="259"/>
      <c r="H48" s="259"/>
      <c r="I48" s="259"/>
      <c r="J48" s="257"/>
    </row>
    <row r="49" spans="1:10" x14ac:dyDescent="0.3">
      <c r="A49" s="261"/>
      <c r="B49" s="258"/>
      <c r="C49" s="259"/>
      <c r="D49" s="259"/>
      <c r="E49" s="259"/>
      <c r="F49" s="259"/>
      <c r="G49" s="259"/>
      <c r="H49" s="259"/>
      <c r="I49" s="259"/>
      <c r="J49" s="257"/>
    </row>
    <row r="50" spans="1:10" x14ac:dyDescent="0.3">
      <c r="A50" s="261"/>
      <c r="B50" s="258"/>
      <c r="C50" s="263"/>
      <c r="D50" s="263"/>
      <c r="E50" s="263"/>
      <c r="F50" s="263"/>
      <c r="G50" s="263"/>
      <c r="H50" s="263"/>
      <c r="I50" s="266"/>
      <c r="J50" s="257"/>
    </row>
    <row r="51" spans="1:10" x14ac:dyDescent="0.3">
      <c r="A51" s="261"/>
      <c r="B51" s="258"/>
      <c r="C51" s="258"/>
      <c r="D51" s="258"/>
      <c r="E51" s="258"/>
      <c r="F51" s="258"/>
      <c r="G51" s="258"/>
      <c r="H51" s="258"/>
      <c r="I51" s="268"/>
      <c r="J51" s="257"/>
    </row>
    <row r="52" spans="1:10" x14ac:dyDescent="0.3">
      <c r="A52" s="261"/>
      <c r="B52" s="258"/>
      <c r="C52" s="259"/>
      <c r="D52" s="259"/>
      <c r="E52" s="259"/>
      <c r="F52" s="259"/>
      <c r="G52" s="259"/>
      <c r="H52" s="259"/>
      <c r="I52" s="259"/>
      <c r="J52" s="257"/>
    </row>
    <row r="53" spans="1:10" x14ac:dyDescent="0.3">
      <c r="A53" s="261"/>
      <c r="B53" s="258"/>
      <c r="C53" s="258"/>
      <c r="D53" s="258"/>
      <c r="E53" s="258"/>
      <c r="F53" s="258"/>
      <c r="G53" s="258"/>
      <c r="H53" s="258"/>
      <c r="I53" s="270"/>
      <c r="J53" s="257"/>
    </row>
    <row r="54" spans="1:10" x14ac:dyDescent="0.3">
      <c r="A54" s="261"/>
      <c r="B54" s="258"/>
      <c r="C54" s="265"/>
      <c r="D54" s="265"/>
      <c r="E54" s="265"/>
      <c r="F54" s="265"/>
      <c r="G54" s="265"/>
      <c r="H54" s="265"/>
      <c r="I54" s="265"/>
      <c r="J54" s="257"/>
    </row>
    <row r="55" spans="1:10" x14ac:dyDescent="0.3">
      <c r="A55" s="261"/>
      <c r="B55" s="258"/>
      <c r="C55" s="267"/>
      <c r="D55" s="267"/>
      <c r="E55" s="267"/>
      <c r="F55" s="267"/>
      <c r="G55" s="267"/>
      <c r="H55" s="267"/>
      <c r="I55" s="267"/>
      <c r="J55" s="257"/>
    </row>
    <row r="56" spans="1:10" x14ac:dyDescent="0.3">
      <c r="A56" s="261"/>
      <c r="B56" s="258"/>
      <c r="C56" s="269"/>
      <c r="D56" s="269"/>
      <c r="E56" s="269"/>
      <c r="F56" s="269"/>
      <c r="G56" s="269"/>
      <c r="H56" s="269"/>
      <c r="I56" s="265"/>
      <c r="J56" s="257"/>
    </row>
    <row r="57" spans="1:10" x14ac:dyDescent="0.3">
      <c r="A57" s="261"/>
      <c r="B57" s="258"/>
      <c r="C57" s="258"/>
      <c r="D57" s="267"/>
      <c r="E57" s="267"/>
      <c r="F57" s="267"/>
      <c r="G57" s="267"/>
      <c r="H57" s="267"/>
      <c r="I57" s="267"/>
      <c r="J57" s="257"/>
    </row>
    <row r="58" spans="1:10" x14ac:dyDescent="0.3">
      <c r="A58" s="257"/>
      <c r="B58" s="257"/>
      <c r="C58" s="260"/>
      <c r="D58" s="260"/>
      <c r="E58" s="260"/>
      <c r="F58" s="260"/>
      <c r="G58" s="260"/>
      <c r="H58" s="260"/>
      <c r="I58" s="257"/>
      <c r="J58" s="257"/>
    </row>
    <row r="59" spans="1:10" x14ac:dyDescent="0.3">
      <c r="A59" s="257"/>
      <c r="B59" s="273"/>
      <c r="C59" s="260"/>
      <c r="D59" s="260"/>
      <c r="E59" s="260"/>
      <c r="F59" s="260"/>
      <c r="G59" s="260"/>
      <c r="H59" s="260"/>
      <c r="I59" s="274"/>
      <c r="J59" s="257"/>
    </row>
    <row r="60" spans="1:10" x14ac:dyDescent="0.3">
      <c r="A60" s="257"/>
      <c r="B60" s="258"/>
      <c r="C60" s="260"/>
      <c r="D60" s="272"/>
      <c r="E60" s="272"/>
      <c r="F60" s="272"/>
      <c r="G60" s="272"/>
      <c r="H60" s="272"/>
      <c r="I60" s="274"/>
      <c r="J60" s="257"/>
    </row>
    <row r="61" spans="1:10" x14ac:dyDescent="0.3">
      <c r="A61" s="257"/>
      <c r="B61" s="258"/>
      <c r="C61" s="272"/>
      <c r="D61" s="272"/>
      <c r="E61" s="272"/>
      <c r="F61" s="272"/>
      <c r="G61" s="272"/>
      <c r="H61" s="272"/>
      <c r="I61" s="275"/>
      <c r="J61" s="257"/>
    </row>
    <row r="62" spans="1:10" x14ac:dyDescent="0.3">
      <c r="A62" s="257"/>
      <c r="B62" s="258"/>
      <c r="C62" s="272"/>
      <c r="D62" s="272"/>
      <c r="E62" s="272"/>
      <c r="F62" s="272"/>
      <c r="G62" s="272"/>
      <c r="H62" s="272"/>
      <c r="I62" s="262"/>
      <c r="J62" s="257"/>
    </row>
    <row r="63" spans="1:10" x14ac:dyDescent="0.3">
      <c r="A63" s="257"/>
      <c r="B63" s="258"/>
      <c r="C63" s="272"/>
      <c r="D63" s="272"/>
      <c r="E63" s="272"/>
      <c r="F63" s="272"/>
      <c r="G63" s="272"/>
      <c r="H63" s="272"/>
      <c r="I63" s="272"/>
      <c r="J63" s="257"/>
    </row>
    <row r="64" spans="1:10" x14ac:dyDescent="0.3">
      <c r="A64" s="257"/>
      <c r="B64" s="258"/>
      <c r="C64" s="272"/>
      <c r="D64" s="272"/>
      <c r="E64" s="272"/>
      <c r="F64" s="272"/>
      <c r="G64" s="272"/>
      <c r="H64" s="272"/>
      <c r="I64" s="272"/>
      <c r="J64" s="257"/>
    </row>
    <row r="65" spans="1:10" x14ac:dyDescent="0.3">
      <c r="A65" s="257"/>
      <c r="B65" s="258"/>
      <c r="C65" s="272"/>
      <c r="D65" s="272"/>
      <c r="E65" s="272"/>
      <c r="F65" s="272"/>
      <c r="G65" s="272"/>
      <c r="H65" s="272"/>
      <c r="I65" s="272"/>
      <c r="J65" s="257"/>
    </row>
    <row r="66" spans="1:10" x14ac:dyDescent="0.3">
      <c r="A66" s="257"/>
      <c r="B66" s="258"/>
      <c r="C66" s="272"/>
      <c r="D66" s="272"/>
      <c r="E66" s="272"/>
      <c r="F66" s="272"/>
      <c r="G66" s="272"/>
      <c r="H66" s="272"/>
      <c r="I66" s="272"/>
      <c r="J66" s="257"/>
    </row>
    <row r="67" spans="1:10" x14ac:dyDescent="0.3">
      <c r="A67" s="257"/>
      <c r="B67" s="257"/>
      <c r="C67" s="257"/>
      <c r="D67" s="257"/>
      <c r="E67" s="257"/>
      <c r="F67" s="257"/>
      <c r="G67" s="257"/>
      <c r="H67" s="257"/>
      <c r="I67" s="257"/>
      <c r="J67" s="257"/>
    </row>
    <row r="68" spans="1:10" x14ac:dyDescent="0.3">
      <c r="A68" s="257"/>
      <c r="B68" s="257"/>
      <c r="C68" s="257"/>
      <c r="D68" s="257"/>
      <c r="E68" s="257"/>
      <c r="F68" s="257"/>
      <c r="G68" s="257"/>
      <c r="H68" s="257"/>
      <c r="I68" s="257"/>
      <c r="J68" s="257"/>
    </row>
    <row r="69" spans="1:10" x14ac:dyDescent="0.3">
      <c r="A69" s="257"/>
      <c r="B69" s="257"/>
      <c r="C69" s="257"/>
      <c r="D69" s="257"/>
      <c r="E69" s="257"/>
      <c r="F69" s="257"/>
      <c r="G69" s="257"/>
      <c r="H69" s="257"/>
      <c r="I69" s="257"/>
      <c r="J69" s="257"/>
    </row>
    <row r="70" spans="1:10" x14ac:dyDescent="0.3">
      <c r="A70" s="257"/>
      <c r="B70" s="257"/>
      <c r="C70" s="257"/>
      <c r="D70" s="257"/>
      <c r="E70" s="257"/>
      <c r="F70" s="257"/>
      <c r="G70" s="257"/>
      <c r="H70" s="257"/>
      <c r="I70" s="257"/>
      <c r="J70" s="257"/>
    </row>
    <row r="71" spans="1:10" x14ac:dyDescent="0.3">
      <c r="A71" s="257"/>
      <c r="B71" s="257"/>
      <c r="C71" s="257"/>
      <c r="D71" s="257"/>
      <c r="E71" s="257"/>
      <c r="F71" s="257"/>
      <c r="G71" s="257"/>
      <c r="H71" s="257"/>
      <c r="I71" s="257"/>
      <c r="J71" s="257"/>
    </row>
    <row r="72" spans="1:10" x14ac:dyDescent="0.3">
      <c r="A72" s="257"/>
      <c r="B72" s="257"/>
      <c r="C72" s="257"/>
      <c r="D72" s="257"/>
      <c r="E72" s="257"/>
      <c r="F72" s="257"/>
      <c r="G72" s="257"/>
      <c r="H72" s="257"/>
      <c r="I72" s="257"/>
      <c r="J72" s="257"/>
    </row>
  </sheetData>
  <printOptions headings="1" gridLines="1"/>
  <pageMargins left="0.25" right="0.25" top="0.75" bottom="0.75" header="0.3" footer="0.3"/>
  <pageSetup scale="47" orientation="landscape" r:id="rId1"/>
  <headerFooter>
    <oddFooter>&amp;L&amp;Z&amp;F&amp;C
&amp;P of &amp;N
&amp;R&amp;D</oddFooter>
  </headerFooter>
  <colBreaks count="1" manualBreakCount="1">
    <brk id="13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9D6A-DF91-4447-B00A-7D82969FCE45}">
  <dimension ref="B1:E33"/>
  <sheetViews>
    <sheetView view="pageBreakPreview" zoomScale="60" zoomScaleNormal="100" workbookViewId="0">
      <selection activeCell="N28" sqref="N28"/>
    </sheetView>
  </sheetViews>
  <sheetFormatPr defaultRowHeight="14.4" x14ac:dyDescent="0.3"/>
  <cols>
    <col min="2" max="2" width="66.33203125" customWidth="1"/>
    <col min="3" max="3" width="14.88671875" bestFit="1" customWidth="1"/>
    <col min="4" max="4" width="14.44140625" customWidth="1"/>
    <col min="5" max="5" width="12.5546875" bestFit="1" customWidth="1"/>
  </cols>
  <sheetData>
    <row r="1" spans="2:4" x14ac:dyDescent="0.3">
      <c r="B1" s="720" t="s">
        <v>90</v>
      </c>
    </row>
    <row r="2" spans="2:4" x14ac:dyDescent="0.3">
      <c r="B2" s="720" t="s">
        <v>172</v>
      </c>
    </row>
    <row r="3" spans="2:4" x14ac:dyDescent="0.3">
      <c r="B3" s="720" t="s">
        <v>92</v>
      </c>
    </row>
    <row r="5" spans="2:4" ht="15" thickBot="1" x14ac:dyDescent="0.35"/>
    <row r="6" spans="2:4" x14ac:dyDescent="0.3">
      <c r="C6" s="721" t="s">
        <v>47</v>
      </c>
      <c r="D6" s="722" t="s">
        <v>40</v>
      </c>
    </row>
    <row r="7" spans="2:4" x14ac:dyDescent="0.3">
      <c r="B7" t="s">
        <v>173</v>
      </c>
      <c r="C7" s="723">
        <f>177798+11472+2991</f>
        <v>192261</v>
      </c>
      <c r="D7" s="724">
        <v>230934.12</v>
      </c>
    </row>
    <row r="8" spans="2:4" x14ac:dyDescent="0.3">
      <c r="B8" t="s">
        <v>174</v>
      </c>
      <c r="C8" s="725">
        <v>4218</v>
      </c>
      <c r="D8" s="726">
        <v>3847</v>
      </c>
    </row>
    <row r="9" spans="2:4" x14ac:dyDescent="0.3">
      <c r="B9" t="s">
        <v>175</v>
      </c>
      <c r="C9" s="727">
        <f>C7/C8</f>
        <v>45.581081081081081</v>
      </c>
      <c r="D9" s="728">
        <f>D7/D8</f>
        <v>60.029664673771769</v>
      </c>
    </row>
    <row r="10" spans="2:4" x14ac:dyDescent="0.3">
      <c r="C10" s="727"/>
      <c r="D10" s="726"/>
    </row>
    <row r="11" spans="2:4" x14ac:dyDescent="0.3">
      <c r="B11" t="s">
        <v>176</v>
      </c>
      <c r="C11" s="723">
        <v>66026</v>
      </c>
      <c r="D11" s="724">
        <v>46111</v>
      </c>
    </row>
    <row r="12" spans="2:4" x14ac:dyDescent="0.3">
      <c r="B12" t="s">
        <v>177</v>
      </c>
      <c r="C12" s="723">
        <v>356836</v>
      </c>
      <c r="D12" s="724">
        <v>723724.83</v>
      </c>
    </row>
    <row r="13" spans="2:4" x14ac:dyDescent="0.3">
      <c r="B13" t="s">
        <v>178</v>
      </c>
      <c r="C13" s="729">
        <f>C11/C12</f>
        <v>0.18503177930477865</v>
      </c>
      <c r="D13" s="730">
        <f>D11/D12</f>
        <v>6.3713442027407016E-2</v>
      </c>
    </row>
    <row r="14" spans="2:4" x14ac:dyDescent="0.3">
      <c r="C14" s="725"/>
      <c r="D14" s="726"/>
    </row>
    <row r="15" spans="2:4" x14ac:dyDescent="0.3">
      <c r="B15" t="s">
        <v>179</v>
      </c>
      <c r="C15" s="723">
        <v>34472</v>
      </c>
      <c r="D15" s="724">
        <v>57989</v>
      </c>
    </row>
    <row r="16" spans="2:4" x14ac:dyDescent="0.3">
      <c r="B16" t="s">
        <v>180</v>
      </c>
      <c r="C16" s="723">
        <v>356836</v>
      </c>
      <c r="D16" s="724">
        <v>723724.83</v>
      </c>
    </row>
    <row r="17" spans="2:5" x14ac:dyDescent="0.3">
      <c r="B17" t="s">
        <v>181</v>
      </c>
      <c r="C17" s="729">
        <f>C15/C16</f>
        <v>9.6604602674618026E-2</v>
      </c>
      <c r="D17" s="730">
        <f>D15/D16</f>
        <v>8.0125757188681784E-2</v>
      </c>
    </row>
    <row r="18" spans="2:5" x14ac:dyDescent="0.3">
      <c r="C18" s="729"/>
      <c r="D18" s="730"/>
    </row>
    <row r="19" spans="2:5" x14ac:dyDescent="0.3">
      <c r="B19" s="731" t="s">
        <v>182</v>
      </c>
      <c r="C19" s="732">
        <f>C13+C17</f>
        <v>0.28163638197939667</v>
      </c>
      <c r="D19" s="733">
        <f>D13+D17</f>
        <v>0.14383919921608879</v>
      </c>
      <c r="E19" s="725"/>
    </row>
    <row r="20" spans="2:5" x14ac:dyDescent="0.3">
      <c r="B20" s="731" t="s">
        <v>183</v>
      </c>
      <c r="C20" s="732">
        <f>100%-C19</f>
        <v>0.71836361802060333</v>
      </c>
      <c r="D20" s="733">
        <f>100%-D19</f>
        <v>0.85616080078391121</v>
      </c>
      <c r="E20" s="725"/>
    </row>
    <row r="21" spans="2:5" ht="15" thickBot="1" x14ac:dyDescent="0.35">
      <c r="C21" s="725"/>
      <c r="D21" s="726"/>
      <c r="E21" t="s">
        <v>48</v>
      </c>
    </row>
    <row r="22" spans="2:5" x14ac:dyDescent="0.3">
      <c r="B22" t="s">
        <v>175</v>
      </c>
      <c r="C22" s="734">
        <f>C9</f>
        <v>45.581081081081081</v>
      </c>
      <c r="D22" s="735">
        <f>D9</f>
        <v>60.029664673771769</v>
      </c>
      <c r="E22" s="736">
        <f t="shared" ref="E22:E33" si="0">AVERAGE(C22:D22)</f>
        <v>52.805372877426421</v>
      </c>
    </row>
    <row r="23" spans="2:5" x14ac:dyDescent="0.3">
      <c r="C23" s="734"/>
      <c r="D23" s="735"/>
      <c r="E23" s="737"/>
    </row>
    <row r="24" spans="2:5" x14ac:dyDescent="0.3">
      <c r="B24" s="720" t="s">
        <v>184</v>
      </c>
      <c r="C24" s="738">
        <f>C28*C13</f>
        <v>11.740500664979281</v>
      </c>
      <c r="D24" s="739">
        <f>D28*D13</f>
        <v>4.4672642763077945</v>
      </c>
      <c r="E24" s="737"/>
    </row>
    <row r="25" spans="2:5" x14ac:dyDescent="0.3">
      <c r="B25" s="720" t="s">
        <v>185</v>
      </c>
      <c r="C25" s="738">
        <f>C17*C28</f>
        <v>6.1296843504553626</v>
      </c>
      <c r="D25" s="739">
        <f>D17*D28</f>
        <v>5.6180127977882224</v>
      </c>
      <c r="E25" s="737"/>
    </row>
    <row r="26" spans="2:5" x14ac:dyDescent="0.3">
      <c r="B26" s="740" t="s">
        <v>186</v>
      </c>
      <c r="C26" s="741">
        <f>SUM(C24:C25)</f>
        <v>17.870185015434643</v>
      </c>
      <c r="D26" s="742">
        <f>SUM(D24:D25)</f>
        <v>10.085277074096016</v>
      </c>
      <c r="E26" s="743">
        <f t="shared" si="0"/>
        <v>13.97773104476533</v>
      </c>
    </row>
    <row r="27" spans="2:5" x14ac:dyDescent="0.3">
      <c r="C27" s="732"/>
      <c r="D27" s="733"/>
      <c r="E27" s="737"/>
    </row>
    <row r="28" spans="2:5" x14ac:dyDescent="0.3">
      <c r="B28" s="720" t="s">
        <v>187</v>
      </c>
      <c r="C28" s="734">
        <f>C22/C20</f>
        <v>63.451266096515724</v>
      </c>
      <c r="D28" s="735">
        <f>D22/D20</f>
        <v>70.114941747867789</v>
      </c>
      <c r="E28" s="743">
        <f t="shared" si="0"/>
        <v>66.783103922191756</v>
      </c>
    </row>
    <row r="29" spans="2:5" x14ac:dyDescent="0.3">
      <c r="B29" s="744" t="s">
        <v>188</v>
      </c>
      <c r="C29" s="745">
        <v>0.9</v>
      </c>
      <c r="D29" s="746">
        <v>0.9</v>
      </c>
      <c r="E29" s="737"/>
    </row>
    <row r="30" spans="2:5" x14ac:dyDescent="0.3">
      <c r="B30" s="744" t="s">
        <v>189</v>
      </c>
      <c r="C30" s="723">
        <f>C28/C29</f>
        <v>70.501406773906353</v>
      </c>
      <c r="D30" s="724">
        <f>D28/D29</f>
        <v>77.905490830964212</v>
      </c>
      <c r="E30" s="747">
        <f>AVERAGE(C30:D30)</f>
        <v>74.203448802435275</v>
      </c>
    </row>
    <row r="31" spans="2:5" x14ac:dyDescent="0.3">
      <c r="C31" s="725"/>
      <c r="D31" s="726"/>
      <c r="E31" s="737"/>
    </row>
    <row r="32" spans="2:5" x14ac:dyDescent="0.3">
      <c r="B32" t="s">
        <v>190</v>
      </c>
      <c r="C32" s="732">
        <v>2.07E-2</v>
      </c>
      <c r="D32" s="733">
        <v>2.07E-2</v>
      </c>
      <c r="E32" s="737"/>
    </row>
    <row r="33" spans="2:5" ht="15" thickBot="1" x14ac:dyDescent="0.35">
      <c r="B33" s="748" t="s">
        <v>191</v>
      </c>
      <c r="C33" s="749">
        <f>ROUND((C30*(1+C32)),2)</f>
        <v>71.959999999999994</v>
      </c>
      <c r="D33" s="750">
        <f>ROUND((D30*(1+D32)),2)</f>
        <v>79.52</v>
      </c>
      <c r="E33" s="751">
        <f t="shared" si="0"/>
        <v>75.739999999999995</v>
      </c>
    </row>
  </sheetData>
  <printOptions headings="1" gridLines="1"/>
  <pageMargins left="0.7" right="0.7" top="0.75" bottom="0.75" header="0.3" footer="0.3"/>
  <pageSetup scale="74" orientation="portrait" r:id="rId1"/>
  <headerFooter>
    <oddFooter>&amp;L&amp;Z&amp;F&amp;C&amp;P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91365-697B-4734-B112-825C02DCC512}">
  <dimension ref="A1:C43"/>
  <sheetViews>
    <sheetView tabSelected="1" zoomScaleNormal="100" workbookViewId="0">
      <selection activeCell="B44" sqref="B44"/>
    </sheetView>
  </sheetViews>
  <sheetFormatPr defaultRowHeight="14.4" x14ac:dyDescent="0.3"/>
  <cols>
    <col min="1" max="1" width="66.5546875" bestFit="1" customWidth="1"/>
    <col min="2" max="2" width="27.6640625" customWidth="1"/>
    <col min="3" max="3" width="17.88671875" bestFit="1" customWidth="1"/>
  </cols>
  <sheetData>
    <row r="1" spans="1:3" ht="21" x14ac:dyDescent="0.4">
      <c r="A1" s="3" t="s">
        <v>312</v>
      </c>
    </row>
    <row r="2" spans="1:3" ht="21" x14ac:dyDescent="0.4">
      <c r="A2" s="276" t="s">
        <v>90</v>
      </c>
    </row>
    <row r="3" spans="1:3" ht="21" x14ac:dyDescent="0.4">
      <c r="A3" s="276" t="s">
        <v>192</v>
      </c>
    </row>
    <row r="4" spans="1:3" ht="21" x14ac:dyDescent="0.4">
      <c r="A4" s="276"/>
    </row>
    <row r="5" spans="1:3" ht="15.6" x14ac:dyDescent="0.3">
      <c r="A5" s="911" t="s">
        <v>313</v>
      </c>
      <c r="B5" s="951" t="s">
        <v>314</v>
      </c>
      <c r="C5" s="951" t="s">
        <v>315</v>
      </c>
    </row>
    <row r="6" spans="1:3" x14ac:dyDescent="0.3">
      <c r="A6" s="912">
        <v>43661</v>
      </c>
      <c r="B6" s="951"/>
      <c r="C6" s="951"/>
    </row>
    <row r="7" spans="1:3" s="720" customFormat="1" x14ac:dyDescent="0.3">
      <c r="B7" s="951"/>
      <c r="C7" s="951"/>
    </row>
    <row r="8" spans="1:3" s="720" customFormat="1" x14ac:dyDescent="0.3">
      <c r="A8" s="720" t="s">
        <v>316</v>
      </c>
      <c r="B8" s="913">
        <v>39.1666667</v>
      </c>
      <c r="C8" s="914">
        <v>15.1</v>
      </c>
    </row>
    <row r="9" spans="1:3" s="720" customFormat="1" x14ac:dyDescent="0.3">
      <c r="A9" s="720" t="s">
        <v>317</v>
      </c>
      <c r="B9" s="915">
        <v>2.0922619</v>
      </c>
      <c r="C9" s="916">
        <v>2.4821428999999999</v>
      </c>
    </row>
    <row r="10" spans="1:3" s="720" customFormat="1" x14ac:dyDescent="0.3">
      <c r="A10" s="720" t="s">
        <v>318</v>
      </c>
      <c r="B10" s="917">
        <v>18.719772462520108</v>
      </c>
      <c r="C10" s="917">
        <v>6.083453132372032</v>
      </c>
    </row>
    <row r="11" spans="1:3" s="720" customFormat="1" x14ac:dyDescent="0.3"/>
    <row r="12" spans="1:3" s="720" customFormat="1" x14ac:dyDescent="0.3">
      <c r="A12" s="720" t="s">
        <v>319</v>
      </c>
      <c r="B12" s="918">
        <v>35156.593000000001</v>
      </c>
      <c r="C12" s="919">
        <v>32774</v>
      </c>
    </row>
    <row r="13" spans="1:3" s="720" customFormat="1" x14ac:dyDescent="0.3">
      <c r="A13" s="720" t="s">
        <v>320</v>
      </c>
      <c r="B13" s="920">
        <v>1928</v>
      </c>
      <c r="C13" s="921">
        <v>1888</v>
      </c>
    </row>
    <row r="14" spans="1:3" s="720" customFormat="1" x14ac:dyDescent="0.3">
      <c r="A14" s="720" t="s">
        <v>321</v>
      </c>
      <c r="B14" s="521">
        <v>18.234747406639006</v>
      </c>
      <c r="C14" s="521">
        <v>17.359110169491526</v>
      </c>
    </row>
    <row r="15" spans="1:3" s="720" customFormat="1" x14ac:dyDescent="0.3"/>
    <row r="16" spans="1:3" s="720" customFormat="1" x14ac:dyDescent="0.3">
      <c r="A16" s="720" t="s">
        <v>322</v>
      </c>
      <c r="B16" s="922">
        <v>8760</v>
      </c>
      <c r="C16" s="922">
        <v>8760</v>
      </c>
    </row>
    <row r="17" spans="1:3" s="720" customFormat="1" x14ac:dyDescent="0.3"/>
    <row r="18" spans="1:3" s="720" customFormat="1" x14ac:dyDescent="0.3">
      <c r="A18" s="720" t="s">
        <v>323</v>
      </c>
      <c r="B18" s="521">
        <v>159736.39000000001</v>
      </c>
      <c r="C18" s="521">
        <v>152065.81</v>
      </c>
    </row>
    <row r="19" spans="1:3" s="720" customFormat="1" x14ac:dyDescent="0.3">
      <c r="A19" s="720" t="s">
        <v>324</v>
      </c>
      <c r="B19" s="521">
        <v>8533.0300000000007</v>
      </c>
      <c r="C19" s="521">
        <v>24996.63</v>
      </c>
    </row>
    <row r="20" spans="1:3" s="720" customFormat="1" x14ac:dyDescent="0.3">
      <c r="A20" s="720" t="s">
        <v>325</v>
      </c>
      <c r="B20" s="521">
        <v>23.38</v>
      </c>
      <c r="C20" s="521">
        <v>68.48</v>
      </c>
    </row>
    <row r="21" spans="1:3" s="720" customFormat="1" x14ac:dyDescent="0.3">
      <c r="B21" s="521"/>
      <c r="C21" s="521"/>
    </row>
    <row r="22" spans="1:3" s="720" customFormat="1" x14ac:dyDescent="0.3">
      <c r="A22" s="720" t="s">
        <v>175</v>
      </c>
      <c r="B22" s="923">
        <v>23.38</v>
      </c>
      <c r="C22" s="923">
        <v>68.48</v>
      </c>
    </row>
    <row r="23" spans="1:3" s="720" customFormat="1" x14ac:dyDescent="0.3">
      <c r="B23" s="924"/>
      <c r="C23" s="924"/>
    </row>
    <row r="24" spans="1:3" s="720" customFormat="1" x14ac:dyDescent="0.3">
      <c r="A24" s="720" t="s">
        <v>326</v>
      </c>
      <c r="B24" s="925">
        <v>0.20599999999999999</v>
      </c>
      <c r="C24" s="926">
        <v>0.219</v>
      </c>
    </row>
    <row r="25" spans="1:3" s="720" customFormat="1" x14ac:dyDescent="0.3">
      <c r="A25" s="720" t="s">
        <v>327</v>
      </c>
      <c r="B25" s="925">
        <v>0.34699999999999998</v>
      </c>
      <c r="C25" s="926">
        <v>0.219</v>
      </c>
    </row>
    <row r="26" spans="1:3" s="720" customFormat="1" x14ac:dyDescent="0.3">
      <c r="B26" s="927"/>
      <c r="C26" s="927"/>
    </row>
    <row r="27" spans="1:3" s="720" customFormat="1" x14ac:dyDescent="0.3">
      <c r="A27" s="720" t="s">
        <v>328</v>
      </c>
      <c r="B27" s="521">
        <v>10.774675615212525</v>
      </c>
      <c r="C27" s="521">
        <v>26.685266903914592</v>
      </c>
    </row>
    <row r="28" spans="1:3" s="720" customFormat="1" x14ac:dyDescent="0.3">
      <c r="A28" s="720" t="s">
        <v>329</v>
      </c>
      <c r="B28" s="521">
        <v>18.149574944071585</v>
      </c>
      <c r="C28" s="521">
        <v>26.685266903914592</v>
      </c>
    </row>
    <row r="29" spans="1:3" s="720" customFormat="1" x14ac:dyDescent="0.3">
      <c r="A29" s="740" t="s">
        <v>186</v>
      </c>
      <c r="B29" s="928">
        <v>28.924250559284111</v>
      </c>
      <c r="C29" s="928">
        <v>53.370533807829183</v>
      </c>
    </row>
    <row r="30" spans="1:3" s="720" customFormat="1" x14ac:dyDescent="0.3">
      <c r="B30" s="927"/>
      <c r="C30" s="927"/>
    </row>
    <row r="31" spans="1:3" s="720" customFormat="1" x14ac:dyDescent="0.3">
      <c r="A31" s="720" t="s">
        <v>187</v>
      </c>
      <c r="B31" s="927">
        <v>52.304250559284107</v>
      </c>
      <c r="C31" s="927">
        <v>121.85053380782918</v>
      </c>
    </row>
    <row r="32" spans="1:3" s="720" customFormat="1" x14ac:dyDescent="0.3">
      <c r="A32" s="744" t="s">
        <v>188</v>
      </c>
      <c r="B32" s="406">
        <v>0.9</v>
      </c>
      <c r="C32" s="406">
        <v>0.9</v>
      </c>
    </row>
    <row r="33" spans="1:3" s="720" customFormat="1" x14ac:dyDescent="0.3">
      <c r="A33" s="744" t="s">
        <v>189</v>
      </c>
      <c r="B33" s="521">
        <v>58.12</v>
      </c>
      <c r="C33" s="521">
        <v>135.38999999999999</v>
      </c>
    </row>
    <row r="34" spans="1:3" s="720" customFormat="1" x14ac:dyDescent="0.3">
      <c r="B34" s="521"/>
      <c r="C34" s="927"/>
    </row>
    <row r="35" spans="1:3" s="720" customFormat="1" x14ac:dyDescent="0.3">
      <c r="A35" s="720" t="s">
        <v>18</v>
      </c>
      <c r="B35" s="929">
        <v>2.2499999999999999E-2</v>
      </c>
      <c r="C35" s="929">
        <v>2.2499999999999999E-2</v>
      </c>
    </row>
    <row r="36" spans="1:3" s="720" customFormat="1" x14ac:dyDescent="0.3">
      <c r="A36" s="740" t="s">
        <v>330</v>
      </c>
      <c r="B36" s="928">
        <v>59.43</v>
      </c>
      <c r="C36" s="928">
        <v>138.44</v>
      </c>
    </row>
    <row r="37" spans="1:3" s="720" customFormat="1" x14ac:dyDescent="0.3">
      <c r="B37" s="521"/>
      <c r="C37" s="927"/>
    </row>
    <row r="38" spans="1:3" s="720" customFormat="1" x14ac:dyDescent="0.3"/>
    <row r="39" spans="1:3" s="720" customFormat="1" x14ac:dyDescent="0.3"/>
    <row r="40" spans="1:3" s="720" customFormat="1" x14ac:dyDescent="0.3"/>
    <row r="41" spans="1:3" s="720" customFormat="1" x14ac:dyDescent="0.3"/>
    <row r="42" spans="1:3" s="720" customFormat="1" x14ac:dyDescent="0.3"/>
    <row r="43" spans="1:3" s="720" customFormat="1" x14ac:dyDescent="0.3"/>
  </sheetData>
  <mergeCells count="2">
    <mergeCell ref="B5:B7"/>
    <mergeCell ref="C5:C7"/>
  </mergeCells>
  <printOptions headings="1" gridLines="1"/>
  <pageMargins left="0.25" right="0.25" top="0.75" bottom="0.75" header="0.3" footer="0.3"/>
  <pageSetup scale="75" orientation="portrait" r:id="rId1"/>
  <headerFooter>
    <oddFooter>&amp;L&amp;Z&amp;F&amp;C
&amp;P of &amp;N
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636E-4476-43C4-A4F5-4CB262A4B397}">
  <sheetPr>
    <tabColor rgb="FF00B050"/>
  </sheetPr>
  <dimension ref="A1:Q75"/>
  <sheetViews>
    <sheetView view="pageBreakPreview" topLeftCell="A34" zoomScale="60" zoomScaleNormal="75" workbookViewId="0">
      <selection activeCell="N28" sqref="N28"/>
    </sheetView>
  </sheetViews>
  <sheetFormatPr defaultColWidth="9.109375" defaultRowHeight="14.4" x14ac:dyDescent="0.3"/>
  <cols>
    <col min="1" max="1" width="34.5546875" style="720" bestFit="1" customWidth="1"/>
    <col min="2" max="3" width="20.109375" style="720" bestFit="1" customWidth="1"/>
    <col min="4" max="4" width="14.44140625" style="720" hidden="1" customWidth="1"/>
    <col min="5" max="5" width="9.33203125" style="720" hidden="1" customWidth="1"/>
    <col min="6" max="6" width="18.44140625" style="720" bestFit="1" customWidth="1"/>
    <col min="7" max="7" width="20.6640625" style="720" bestFit="1" customWidth="1"/>
    <col min="8" max="8" width="14.44140625" style="720" hidden="1" customWidth="1"/>
    <col min="9" max="9" width="9.33203125" style="720" hidden="1" customWidth="1"/>
    <col min="10" max="11" width="20.109375" style="720" bestFit="1" customWidth="1"/>
    <col min="12" max="12" width="13.33203125" style="720" hidden="1" customWidth="1"/>
    <col min="13" max="13" width="11.44140625" style="720" hidden="1" customWidth="1"/>
    <col min="14" max="16" width="18.44140625" style="720" bestFit="1" customWidth="1"/>
    <col min="17" max="17" width="12.6640625" style="720" customWidth="1"/>
    <col min="18" max="16384" width="9.109375" style="720"/>
  </cols>
  <sheetData>
    <row r="1" spans="1:17" ht="21" x14ac:dyDescent="0.4">
      <c r="A1" s="276" t="s">
        <v>90</v>
      </c>
      <c r="B1" s="521"/>
      <c r="C1" s="521"/>
      <c r="D1" s="521"/>
      <c r="E1" s="521"/>
    </row>
    <row r="2" spans="1:17" ht="21" x14ac:dyDescent="0.4">
      <c r="A2" s="276" t="s">
        <v>192</v>
      </c>
      <c r="B2" s="521"/>
      <c r="C2" s="521"/>
      <c r="D2" s="521"/>
      <c r="E2" s="521"/>
    </row>
    <row r="3" spans="1:17" ht="21" x14ac:dyDescent="0.4">
      <c r="A3" s="276" t="s">
        <v>193</v>
      </c>
    </row>
    <row r="4" spans="1:17" ht="15" thickBot="1" x14ac:dyDescent="0.35">
      <c r="A4" s="752"/>
    </row>
    <row r="5" spans="1:17" ht="21" x14ac:dyDescent="0.4">
      <c r="A5" s="753" t="s">
        <v>194</v>
      </c>
      <c r="B5" s="952" t="s">
        <v>195</v>
      </c>
      <c r="C5" s="953"/>
      <c r="D5" s="953"/>
      <c r="E5" s="953"/>
      <c r="F5" s="952" t="s">
        <v>196</v>
      </c>
      <c r="G5" s="953"/>
      <c r="H5" s="953"/>
      <c r="I5" s="954"/>
      <c r="J5" s="952" t="s">
        <v>197</v>
      </c>
      <c r="K5" s="953"/>
      <c r="L5" s="953"/>
      <c r="M5" s="954"/>
      <c r="N5" s="952" t="s">
        <v>198</v>
      </c>
      <c r="O5" s="953"/>
      <c r="P5" s="953"/>
      <c r="Q5" s="955"/>
    </row>
    <row r="6" spans="1:17" ht="21" x14ac:dyDescent="0.4">
      <c r="A6" s="753"/>
      <c r="B6" s="754">
        <v>2017</v>
      </c>
      <c r="C6" s="755">
        <v>2018</v>
      </c>
      <c r="D6" s="956" t="s">
        <v>199</v>
      </c>
      <c r="E6" s="956"/>
      <c r="F6" s="754">
        <v>2017</v>
      </c>
      <c r="G6" s="755">
        <v>2018</v>
      </c>
      <c r="H6" s="956" t="s">
        <v>199</v>
      </c>
      <c r="I6" s="957"/>
      <c r="J6" s="754">
        <v>2017</v>
      </c>
      <c r="K6" s="755">
        <v>2018</v>
      </c>
      <c r="L6" s="956" t="s">
        <v>199</v>
      </c>
      <c r="M6" s="957"/>
      <c r="N6" s="756">
        <v>2017</v>
      </c>
      <c r="O6" s="757">
        <v>2018</v>
      </c>
      <c r="P6" s="956" t="s">
        <v>199</v>
      </c>
      <c r="Q6" s="957"/>
    </row>
    <row r="7" spans="1:17" ht="21" x14ac:dyDescent="0.4">
      <c r="A7" s="758" t="s">
        <v>200</v>
      </c>
      <c r="B7" s="759"/>
      <c r="C7" s="760"/>
      <c r="D7" s="760"/>
      <c r="E7" s="761"/>
      <c r="F7" s="759"/>
      <c r="G7" s="760"/>
      <c r="H7" s="760"/>
      <c r="I7" s="762"/>
      <c r="J7" s="763"/>
      <c r="K7" s="762"/>
      <c r="L7" s="764"/>
      <c r="M7" s="762"/>
      <c r="N7" s="763"/>
      <c r="O7" s="765"/>
      <c r="P7" s="764"/>
      <c r="Q7" s="764"/>
    </row>
    <row r="8" spans="1:17" ht="21" x14ac:dyDescent="0.4">
      <c r="A8" s="758" t="s">
        <v>201</v>
      </c>
      <c r="B8" s="766"/>
      <c r="C8" s="767"/>
      <c r="D8" s="768"/>
      <c r="E8" s="769"/>
      <c r="F8" s="766"/>
      <c r="G8" s="770"/>
      <c r="H8" s="768"/>
      <c r="I8" s="771"/>
      <c r="J8" s="772"/>
      <c r="K8" s="771"/>
      <c r="L8" s="773">
        <f>K8-J8</f>
        <v>0</v>
      </c>
      <c r="M8" s="771"/>
      <c r="N8" s="772">
        <f>SUM(B8+F8+J8)</f>
        <v>0</v>
      </c>
      <c r="O8" s="774">
        <f>SUM(C8+G8+K8)</f>
        <v>0</v>
      </c>
      <c r="P8" s="773">
        <f>O8-N8</f>
        <v>0</v>
      </c>
      <c r="Q8" s="771"/>
    </row>
    <row r="9" spans="1:17" ht="21" x14ac:dyDescent="0.4">
      <c r="A9" s="758" t="s">
        <v>202</v>
      </c>
      <c r="B9" s="766"/>
      <c r="C9" s="767">
        <v>3561</v>
      </c>
      <c r="D9" s="768">
        <f t="shared" ref="D9:D57" si="0">C9-B9</f>
        <v>3561</v>
      </c>
      <c r="E9" s="775">
        <f t="shared" ref="E9:E57" si="1">IFERROR((D9/B9),0)</f>
        <v>0</v>
      </c>
      <c r="F9" s="766"/>
      <c r="G9" s="770"/>
      <c r="H9" s="768">
        <f t="shared" ref="H9:H58" si="2">G9-F9</f>
        <v>0</v>
      </c>
      <c r="I9" s="776">
        <f t="shared" ref="I9:I58" si="3">IFERROR((H9/F9),0)</f>
        <v>0</v>
      </c>
      <c r="J9" s="772">
        <v>0</v>
      </c>
      <c r="K9" s="771">
        <v>0</v>
      </c>
      <c r="L9" s="773">
        <f t="shared" ref="L9:L58" si="4">K9-J9</f>
        <v>0</v>
      </c>
      <c r="M9" s="776">
        <f t="shared" ref="M9:M58" si="5">IFERROR((L9/J9),0)</f>
        <v>0</v>
      </c>
      <c r="N9" s="772">
        <f t="shared" ref="N9:N58" si="6">SUM(B9+F9+J9)</f>
        <v>0</v>
      </c>
      <c r="O9" s="774">
        <f t="shared" ref="O9:O58" si="7">SUM(C9+G9+K9)</f>
        <v>3561</v>
      </c>
      <c r="P9" s="773">
        <f t="shared" ref="P9:P58" si="8">O9-N9</f>
        <v>3561</v>
      </c>
      <c r="Q9" s="776">
        <f t="shared" ref="Q9:Q58" si="9">IFERROR((P9/N9),0)</f>
        <v>0</v>
      </c>
    </row>
    <row r="10" spans="1:17" ht="21" x14ac:dyDescent="0.4">
      <c r="A10" s="758" t="s">
        <v>203</v>
      </c>
      <c r="B10" s="777">
        <v>28596</v>
      </c>
      <c r="C10" s="778">
        <v>177798</v>
      </c>
      <c r="D10" s="768">
        <f t="shared" si="0"/>
        <v>149202</v>
      </c>
      <c r="E10" s="775">
        <f t="shared" si="1"/>
        <v>5.217582878724297</v>
      </c>
      <c r="F10" s="777"/>
      <c r="G10" s="779"/>
      <c r="H10" s="768">
        <f t="shared" si="2"/>
        <v>0</v>
      </c>
      <c r="I10" s="776">
        <f t="shared" si="3"/>
        <v>0</v>
      </c>
      <c r="J10" s="780">
        <v>237720.84</v>
      </c>
      <c r="K10" s="781">
        <v>230934.12</v>
      </c>
      <c r="L10" s="773">
        <f t="shared" si="4"/>
        <v>-6786.7200000000012</v>
      </c>
      <c r="M10" s="776">
        <f t="shared" si="5"/>
        <v>-2.8549116686614438E-2</v>
      </c>
      <c r="N10" s="772">
        <f t="shared" si="6"/>
        <v>266316.83999999997</v>
      </c>
      <c r="O10" s="774">
        <f t="shared" si="7"/>
        <v>408732.12</v>
      </c>
      <c r="P10" s="773">
        <f t="shared" si="8"/>
        <v>142415.28000000003</v>
      </c>
      <c r="Q10" s="776">
        <f t="shared" si="9"/>
        <v>0.53475882336242819</v>
      </c>
    </row>
    <row r="11" spans="1:17" ht="21" x14ac:dyDescent="0.4">
      <c r="A11" s="758" t="s">
        <v>204</v>
      </c>
      <c r="B11" s="777">
        <v>2826</v>
      </c>
      <c r="C11" s="778">
        <v>11472</v>
      </c>
      <c r="D11" s="768">
        <f t="shared" si="0"/>
        <v>8646</v>
      </c>
      <c r="E11" s="775">
        <f t="shared" si="1"/>
        <v>3.059447983014862</v>
      </c>
      <c r="F11" s="777"/>
      <c r="G11" s="779"/>
      <c r="H11" s="768">
        <f t="shared" si="2"/>
        <v>0</v>
      </c>
      <c r="I11" s="776">
        <f t="shared" si="3"/>
        <v>0</v>
      </c>
      <c r="J11" s="780">
        <v>0</v>
      </c>
      <c r="K11" s="781">
        <v>0</v>
      </c>
      <c r="L11" s="773">
        <f t="shared" si="4"/>
        <v>0</v>
      </c>
      <c r="M11" s="776">
        <f t="shared" si="5"/>
        <v>0</v>
      </c>
      <c r="N11" s="772">
        <f t="shared" si="6"/>
        <v>2826</v>
      </c>
      <c r="O11" s="774">
        <f t="shared" si="7"/>
        <v>11472</v>
      </c>
      <c r="P11" s="773">
        <f t="shared" si="8"/>
        <v>8646</v>
      </c>
      <c r="Q11" s="776">
        <f t="shared" si="9"/>
        <v>3.059447983014862</v>
      </c>
    </row>
    <row r="12" spans="1:17" ht="21" x14ac:dyDescent="0.4">
      <c r="A12" s="758" t="s">
        <v>205</v>
      </c>
      <c r="B12" s="766"/>
      <c r="C12" s="767"/>
      <c r="D12" s="768">
        <f t="shared" si="0"/>
        <v>0</v>
      </c>
      <c r="E12" s="775">
        <f t="shared" si="1"/>
        <v>0</v>
      </c>
      <c r="F12" s="766">
        <v>14251</v>
      </c>
      <c r="G12" s="770">
        <v>16605.330000000002</v>
      </c>
      <c r="H12" s="768">
        <f t="shared" si="2"/>
        <v>2354.3300000000017</v>
      </c>
      <c r="I12" s="776">
        <f t="shared" si="3"/>
        <v>0.16520454704932999</v>
      </c>
      <c r="J12" s="772">
        <v>0</v>
      </c>
      <c r="K12" s="771">
        <v>0</v>
      </c>
      <c r="L12" s="773">
        <f t="shared" si="4"/>
        <v>0</v>
      </c>
      <c r="M12" s="776">
        <f t="shared" si="5"/>
        <v>0</v>
      </c>
      <c r="N12" s="772">
        <f t="shared" si="6"/>
        <v>14251</v>
      </c>
      <c r="O12" s="774">
        <f t="shared" si="7"/>
        <v>16605.330000000002</v>
      </c>
      <c r="P12" s="773">
        <f t="shared" si="8"/>
        <v>2354.3300000000017</v>
      </c>
      <c r="Q12" s="776">
        <f t="shared" si="9"/>
        <v>0.16520454704932999</v>
      </c>
    </row>
    <row r="13" spans="1:17" ht="21" x14ac:dyDescent="0.4">
      <c r="A13" s="758" t="s">
        <v>206</v>
      </c>
      <c r="B13" s="766"/>
      <c r="C13" s="767">
        <v>2991</v>
      </c>
      <c r="D13" s="768">
        <f t="shared" si="0"/>
        <v>2991</v>
      </c>
      <c r="E13" s="775">
        <f t="shared" si="1"/>
        <v>0</v>
      </c>
      <c r="F13" s="766"/>
      <c r="G13" s="770"/>
      <c r="H13" s="768">
        <f t="shared" si="2"/>
        <v>0</v>
      </c>
      <c r="I13" s="776">
        <f t="shared" si="3"/>
        <v>0</v>
      </c>
      <c r="J13" s="772">
        <v>0</v>
      </c>
      <c r="K13" s="771">
        <v>0</v>
      </c>
      <c r="L13" s="773">
        <f t="shared" si="4"/>
        <v>0</v>
      </c>
      <c r="M13" s="776">
        <f t="shared" si="5"/>
        <v>0</v>
      </c>
      <c r="N13" s="772">
        <f t="shared" si="6"/>
        <v>0</v>
      </c>
      <c r="O13" s="774">
        <f t="shared" si="7"/>
        <v>2991</v>
      </c>
      <c r="P13" s="773">
        <f t="shared" si="8"/>
        <v>2991</v>
      </c>
      <c r="Q13" s="776">
        <f t="shared" si="9"/>
        <v>0</v>
      </c>
    </row>
    <row r="14" spans="1:17" ht="21.6" thickBot="1" x14ac:dyDescent="0.45">
      <c r="A14" s="782" t="s">
        <v>207</v>
      </c>
      <c r="B14" s="783">
        <v>31422</v>
      </c>
      <c r="C14" s="784">
        <v>195822</v>
      </c>
      <c r="D14" s="785">
        <f t="shared" si="0"/>
        <v>164400</v>
      </c>
      <c r="E14" s="786">
        <f t="shared" si="1"/>
        <v>5.2320030551842658</v>
      </c>
      <c r="F14" s="783">
        <v>14251</v>
      </c>
      <c r="G14" s="783">
        <v>16605.330000000002</v>
      </c>
      <c r="H14" s="785">
        <f t="shared" si="2"/>
        <v>2354.3300000000017</v>
      </c>
      <c r="I14" s="787">
        <f t="shared" si="3"/>
        <v>0.16520454704932999</v>
      </c>
      <c r="J14" s="783">
        <v>237720.84</v>
      </c>
      <c r="K14" s="783">
        <v>230934.12</v>
      </c>
      <c r="L14" s="788">
        <f t="shared" si="4"/>
        <v>-6786.7200000000012</v>
      </c>
      <c r="M14" s="787">
        <f t="shared" si="5"/>
        <v>-2.8549116686614438E-2</v>
      </c>
      <c r="N14" s="789">
        <f t="shared" si="6"/>
        <v>283393.83999999997</v>
      </c>
      <c r="O14" s="790">
        <f t="shared" si="7"/>
        <v>443361.45</v>
      </c>
      <c r="P14" s="788">
        <f t="shared" si="8"/>
        <v>159967.61000000004</v>
      </c>
      <c r="Q14" s="787">
        <f t="shared" si="9"/>
        <v>0.5644710202592973</v>
      </c>
    </row>
    <row r="15" spans="1:17" ht="21.6" thickTop="1" x14ac:dyDescent="0.4">
      <c r="A15" s="758" t="s">
        <v>208</v>
      </c>
      <c r="B15" s="766"/>
      <c r="C15" s="767"/>
      <c r="D15" s="768"/>
      <c r="E15" s="775"/>
      <c r="F15" s="766"/>
      <c r="G15" s="770"/>
      <c r="H15" s="768"/>
      <c r="I15" s="776"/>
      <c r="J15" s="772"/>
      <c r="K15" s="771"/>
      <c r="L15" s="773">
        <f t="shared" si="4"/>
        <v>0</v>
      </c>
      <c r="M15" s="776">
        <f t="shared" si="5"/>
        <v>0</v>
      </c>
      <c r="N15" s="772">
        <f t="shared" si="6"/>
        <v>0</v>
      </c>
      <c r="O15" s="774">
        <f t="shared" si="7"/>
        <v>0</v>
      </c>
      <c r="P15" s="773">
        <f t="shared" si="8"/>
        <v>0</v>
      </c>
      <c r="Q15" s="776">
        <f t="shared" si="9"/>
        <v>0</v>
      </c>
    </row>
    <row r="16" spans="1:17" ht="21" x14ac:dyDescent="0.4">
      <c r="A16" s="758" t="s">
        <v>209</v>
      </c>
      <c r="B16" s="777">
        <v>504</v>
      </c>
      <c r="C16" s="778">
        <v>1678</v>
      </c>
      <c r="D16" s="768">
        <f t="shared" si="0"/>
        <v>1174</v>
      </c>
      <c r="E16" s="775">
        <f t="shared" si="1"/>
        <v>2.3293650793650795</v>
      </c>
      <c r="F16" s="777"/>
      <c r="G16" s="779"/>
      <c r="H16" s="768">
        <f t="shared" si="2"/>
        <v>0</v>
      </c>
      <c r="I16" s="776">
        <f t="shared" si="3"/>
        <v>0</v>
      </c>
      <c r="J16" s="780">
        <v>0</v>
      </c>
      <c r="K16" s="781">
        <v>0</v>
      </c>
      <c r="L16" s="773">
        <f t="shared" si="4"/>
        <v>0</v>
      </c>
      <c r="M16" s="776">
        <f t="shared" si="5"/>
        <v>0</v>
      </c>
      <c r="N16" s="772">
        <f t="shared" si="6"/>
        <v>504</v>
      </c>
      <c r="O16" s="774">
        <f t="shared" si="7"/>
        <v>1678</v>
      </c>
      <c r="P16" s="773">
        <f t="shared" si="8"/>
        <v>1174</v>
      </c>
      <c r="Q16" s="776">
        <f t="shared" si="9"/>
        <v>2.3293650793650795</v>
      </c>
    </row>
    <row r="17" spans="1:17" ht="21" x14ac:dyDescent="0.4">
      <c r="A17" s="758" t="s">
        <v>210</v>
      </c>
      <c r="B17" s="777">
        <v>5907</v>
      </c>
      <c r="C17" s="778">
        <v>9884</v>
      </c>
      <c r="D17" s="768">
        <f t="shared" si="0"/>
        <v>3977</v>
      </c>
      <c r="E17" s="775">
        <f t="shared" si="1"/>
        <v>0.67326900287794145</v>
      </c>
      <c r="F17" s="777"/>
      <c r="G17" s="779"/>
      <c r="H17" s="768">
        <f t="shared" si="2"/>
        <v>0</v>
      </c>
      <c r="I17" s="776">
        <f t="shared" si="3"/>
        <v>0</v>
      </c>
      <c r="J17" s="780">
        <v>32712.58</v>
      </c>
      <c r="K17" s="781">
        <v>36767.74</v>
      </c>
      <c r="L17" s="773">
        <f t="shared" si="4"/>
        <v>4055.1599999999962</v>
      </c>
      <c r="M17" s="776">
        <f t="shared" si="5"/>
        <v>0.12396331931018574</v>
      </c>
      <c r="N17" s="772">
        <f t="shared" si="6"/>
        <v>38619.58</v>
      </c>
      <c r="O17" s="774">
        <f t="shared" si="7"/>
        <v>46651.74</v>
      </c>
      <c r="P17" s="773">
        <f t="shared" si="8"/>
        <v>8032.1599999999962</v>
      </c>
      <c r="Q17" s="776">
        <f t="shared" si="9"/>
        <v>0.20798154718409667</v>
      </c>
    </row>
    <row r="18" spans="1:17" ht="21" x14ac:dyDescent="0.4">
      <c r="A18" s="758" t="s">
        <v>211</v>
      </c>
      <c r="B18" s="777"/>
      <c r="C18" s="778"/>
      <c r="D18" s="768">
        <f t="shared" si="0"/>
        <v>0</v>
      </c>
      <c r="E18" s="775">
        <f t="shared" si="1"/>
        <v>0</v>
      </c>
      <c r="F18" s="777"/>
      <c r="G18" s="779"/>
      <c r="H18" s="768">
        <f t="shared" si="2"/>
        <v>0</v>
      </c>
      <c r="I18" s="776">
        <f t="shared" si="3"/>
        <v>0</v>
      </c>
      <c r="J18" s="780">
        <v>2</v>
      </c>
      <c r="K18" s="781">
        <v>0</v>
      </c>
      <c r="L18" s="773">
        <f t="shared" si="4"/>
        <v>-2</v>
      </c>
      <c r="M18" s="776">
        <f t="shared" si="5"/>
        <v>-1</v>
      </c>
      <c r="N18" s="772">
        <f t="shared" si="6"/>
        <v>2</v>
      </c>
      <c r="O18" s="774">
        <f t="shared" si="7"/>
        <v>0</v>
      </c>
      <c r="P18" s="773">
        <f t="shared" si="8"/>
        <v>-2</v>
      </c>
      <c r="Q18" s="776">
        <f t="shared" si="9"/>
        <v>-1</v>
      </c>
    </row>
    <row r="19" spans="1:17" ht="21" x14ac:dyDescent="0.4">
      <c r="A19" s="758" t="s">
        <v>212</v>
      </c>
      <c r="B19" s="777">
        <v>2149</v>
      </c>
      <c r="C19" s="778">
        <v>14041</v>
      </c>
      <c r="D19" s="768">
        <f t="shared" si="0"/>
        <v>11892</v>
      </c>
      <c r="E19" s="775">
        <f t="shared" si="1"/>
        <v>5.5337366216845041</v>
      </c>
      <c r="F19" s="777">
        <v>1089</v>
      </c>
      <c r="G19" s="779">
        <v>1270.3</v>
      </c>
      <c r="H19" s="768">
        <f t="shared" si="2"/>
        <v>181.29999999999995</v>
      </c>
      <c r="I19" s="776">
        <f t="shared" si="3"/>
        <v>0.16648301193755735</v>
      </c>
      <c r="J19" s="780">
        <v>16968</v>
      </c>
      <c r="K19" s="781">
        <v>16882.509999999998</v>
      </c>
      <c r="L19" s="773">
        <f t="shared" si="4"/>
        <v>-85.490000000001601</v>
      </c>
      <c r="M19" s="776">
        <f t="shared" si="5"/>
        <v>-5.0383074021688829E-3</v>
      </c>
      <c r="N19" s="772">
        <f t="shared" si="6"/>
        <v>20206</v>
      </c>
      <c r="O19" s="774">
        <f t="shared" si="7"/>
        <v>32193.809999999998</v>
      </c>
      <c r="P19" s="773">
        <f t="shared" si="8"/>
        <v>11987.809999999998</v>
      </c>
      <c r="Q19" s="776">
        <f t="shared" si="9"/>
        <v>0.59327971889537745</v>
      </c>
    </row>
    <row r="20" spans="1:17" ht="21" x14ac:dyDescent="0.4">
      <c r="A20" s="758" t="s">
        <v>213</v>
      </c>
      <c r="B20" s="777"/>
      <c r="C20" s="778"/>
      <c r="D20" s="768">
        <f t="shared" si="0"/>
        <v>0</v>
      </c>
      <c r="E20" s="775">
        <f t="shared" si="1"/>
        <v>0</v>
      </c>
      <c r="F20" s="777">
        <v>33</v>
      </c>
      <c r="G20" s="779">
        <v>23.79</v>
      </c>
      <c r="H20" s="768">
        <f t="shared" si="2"/>
        <v>-9.2100000000000009</v>
      </c>
      <c r="I20" s="776">
        <f t="shared" si="3"/>
        <v>-0.27909090909090911</v>
      </c>
      <c r="J20" s="780">
        <v>0</v>
      </c>
      <c r="K20" s="781">
        <v>0</v>
      </c>
      <c r="L20" s="773">
        <f t="shared" si="4"/>
        <v>0</v>
      </c>
      <c r="M20" s="776">
        <f t="shared" si="5"/>
        <v>0</v>
      </c>
      <c r="N20" s="772">
        <f t="shared" si="6"/>
        <v>33</v>
      </c>
      <c r="O20" s="774">
        <f t="shared" si="7"/>
        <v>23.79</v>
      </c>
      <c r="P20" s="773">
        <f t="shared" si="8"/>
        <v>-9.2100000000000009</v>
      </c>
      <c r="Q20" s="776">
        <f t="shared" si="9"/>
        <v>-0.27909090909090911</v>
      </c>
    </row>
    <row r="21" spans="1:17" ht="21" x14ac:dyDescent="0.4">
      <c r="A21" s="758" t="s">
        <v>214</v>
      </c>
      <c r="B21" s="777">
        <v>1329</v>
      </c>
      <c r="C21" s="778">
        <v>1638</v>
      </c>
      <c r="D21" s="768">
        <f t="shared" si="0"/>
        <v>309</v>
      </c>
      <c r="E21" s="775">
        <f t="shared" si="1"/>
        <v>0.2325056433408578</v>
      </c>
      <c r="F21" s="777">
        <v>157</v>
      </c>
      <c r="G21" s="779">
        <v>169.54</v>
      </c>
      <c r="H21" s="768">
        <f t="shared" si="2"/>
        <v>12.539999999999992</v>
      </c>
      <c r="I21" s="776">
        <f t="shared" si="3"/>
        <v>7.9872611464968102E-2</v>
      </c>
      <c r="J21" s="780">
        <v>2852.72</v>
      </c>
      <c r="K21" s="781">
        <v>2724.76</v>
      </c>
      <c r="L21" s="773">
        <f t="shared" si="4"/>
        <v>-127.95999999999958</v>
      </c>
      <c r="M21" s="776">
        <f t="shared" si="5"/>
        <v>-4.4855436215261078E-2</v>
      </c>
      <c r="N21" s="772">
        <f t="shared" si="6"/>
        <v>4338.7199999999993</v>
      </c>
      <c r="O21" s="774">
        <f t="shared" si="7"/>
        <v>4532.3</v>
      </c>
      <c r="P21" s="773">
        <f t="shared" si="8"/>
        <v>193.58000000000084</v>
      </c>
      <c r="Q21" s="776">
        <f t="shared" si="9"/>
        <v>4.4616845521259926E-2</v>
      </c>
    </row>
    <row r="22" spans="1:17" ht="21" x14ac:dyDescent="0.4">
      <c r="A22" s="758" t="s">
        <v>215</v>
      </c>
      <c r="B22" s="777">
        <v>266</v>
      </c>
      <c r="C22" s="778">
        <v>2283</v>
      </c>
      <c r="D22" s="768">
        <f t="shared" si="0"/>
        <v>2017</v>
      </c>
      <c r="E22" s="775">
        <f t="shared" si="1"/>
        <v>7.5827067669172932</v>
      </c>
      <c r="F22" s="777"/>
      <c r="G22" s="779"/>
      <c r="H22" s="768">
        <f t="shared" si="2"/>
        <v>0</v>
      </c>
      <c r="I22" s="776">
        <f t="shared" si="3"/>
        <v>0</v>
      </c>
      <c r="J22" s="780">
        <v>0</v>
      </c>
      <c r="K22" s="781">
        <v>0</v>
      </c>
      <c r="L22" s="773">
        <f t="shared" si="4"/>
        <v>0</v>
      </c>
      <c r="M22" s="776">
        <f t="shared" si="5"/>
        <v>0</v>
      </c>
      <c r="N22" s="772">
        <f t="shared" si="6"/>
        <v>266</v>
      </c>
      <c r="O22" s="774">
        <f t="shared" si="7"/>
        <v>2283</v>
      </c>
      <c r="P22" s="773">
        <f t="shared" si="8"/>
        <v>2017</v>
      </c>
      <c r="Q22" s="776">
        <f t="shared" si="9"/>
        <v>7.5827067669172932</v>
      </c>
    </row>
    <row r="23" spans="1:17" ht="21" x14ac:dyDescent="0.4">
      <c r="A23" s="758" t="s">
        <v>216</v>
      </c>
      <c r="B23" s="777">
        <v>-2387</v>
      </c>
      <c r="C23" s="778"/>
      <c r="D23" s="768">
        <f t="shared" si="0"/>
        <v>2387</v>
      </c>
      <c r="E23" s="775">
        <f t="shared" si="1"/>
        <v>-1</v>
      </c>
      <c r="F23" s="777"/>
      <c r="G23" s="779"/>
      <c r="H23" s="768">
        <f t="shared" si="2"/>
        <v>0</v>
      </c>
      <c r="I23" s="776">
        <f t="shared" si="3"/>
        <v>0</v>
      </c>
      <c r="J23" s="780">
        <v>0</v>
      </c>
      <c r="K23" s="781">
        <v>0</v>
      </c>
      <c r="L23" s="773">
        <f t="shared" si="4"/>
        <v>0</v>
      </c>
      <c r="M23" s="776">
        <f t="shared" si="5"/>
        <v>0</v>
      </c>
      <c r="N23" s="772">
        <f t="shared" si="6"/>
        <v>-2387</v>
      </c>
      <c r="O23" s="774">
        <f t="shared" si="7"/>
        <v>0</v>
      </c>
      <c r="P23" s="773">
        <f t="shared" si="8"/>
        <v>2387</v>
      </c>
      <c r="Q23" s="776">
        <f t="shared" si="9"/>
        <v>-1</v>
      </c>
    </row>
    <row r="24" spans="1:17" ht="21.6" thickBot="1" x14ac:dyDescent="0.45">
      <c r="A24" s="782" t="s">
        <v>217</v>
      </c>
      <c r="B24" s="783">
        <v>7768</v>
      </c>
      <c r="C24" s="784">
        <v>29524</v>
      </c>
      <c r="D24" s="785">
        <f t="shared" si="0"/>
        <v>21756</v>
      </c>
      <c r="E24" s="786">
        <f t="shared" si="1"/>
        <v>2.8007209062821832</v>
      </c>
      <c r="F24" s="783">
        <v>1279</v>
      </c>
      <c r="G24" s="783">
        <v>1463.6299999999999</v>
      </c>
      <c r="H24" s="785">
        <f t="shared" si="2"/>
        <v>184.62999999999988</v>
      </c>
      <c r="I24" s="787">
        <f t="shared" si="3"/>
        <v>0.14435496481626262</v>
      </c>
      <c r="J24" s="791">
        <v>52535.3</v>
      </c>
      <c r="K24" s="791">
        <v>56375.01</v>
      </c>
      <c r="L24" s="788">
        <f t="shared" si="4"/>
        <v>3839.7099999999991</v>
      </c>
      <c r="M24" s="787">
        <f t="shared" si="5"/>
        <v>7.3088190226381092E-2</v>
      </c>
      <c r="N24" s="789">
        <f t="shared" si="6"/>
        <v>61582.3</v>
      </c>
      <c r="O24" s="790">
        <f t="shared" si="7"/>
        <v>87362.64</v>
      </c>
      <c r="P24" s="788">
        <f t="shared" si="8"/>
        <v>25780.339999999997</v>
      </c>
      <c r="Q24" s="787">
        <f t="shared" si="9"/>
        <v>0.41863230181399519</v>
      </c>
    </row>
    <row r="25" spans="1:17" ht="21.6" thickTop="1" x14ac:dyDescent="0.4">
      <c r="A25" s="758" t="s">
        <v>218</v>
      </c>
      <c r="B25" s="766"/>
      <c r="C25" s="767"/>
      <c r="D25" s="768"/>
      <c r="E25" s="775"/>
      <c r="F25" s="766"/>
      <c r="G25" s="770"/>
      <c r="H25" s="768"/>
      <c r="I25" s="776"/>
      <c r="J25" s="772"/>
      <c r="K25" s="771"/>
      <c r="L25" s="773">
        <f t="shared" si="4"/>
        <v>0</v>
      </c>
      <c r="M25" s="776">
        <f t="shared" si="5"/>
        <v>0</v>
      </c>
      <c r="N25" s="772">
        <f t="shared" si="6"/>
        <v>0</v>
      </c>
      <c r="O25" s="774">
        <f t="shared" si="7"/>
        <v>0</v>
      </c>
      <c r="P25" s="773">
        <f t="shared" si="8"/>
        <v>0</v>
      </c>
      <c r="Q25" s="776">
        <f t="shared" si="9"/>
        <v>0</v>
      </c>
    </row>
    <row r="26" spans="1:17" ht="21" x14ac:dyDescent="0.4">
      <c r="A26" s="758" t="s">
        <v>219</v>
      </c>
      <c r="B26" s="777"/>
      <c r="C26" s="778">
        <v>848</v>
      </c>
      <c r="D26" s="768">
        <f t="shared" si="0"/>
        <v>848</v>
      </c>
      <c r="E26" s="775">
        <f t="shared" si="1"/>
        <v>0</v>
      </c>
      <c r="F26" s="777"/>
      <c r="G26" s="779"/>
      <c r="H26" s="768">
        <f t="shared" si="2"/>
        <v>0</v>
      </c>
      <c r="I26" s="776">
        <f t="shared" si="3"/>
        <v>0</v>
      </c>
      <c r="J26" s="780">
        <v>1930</v>
      </c>
      <c r="K26" s="781">
        <v>1614.64</v>
      </c>
      <c r="L26" s="773">
        <f t="shared" si="4"/>
        <v>-315.3599999999999</v>
      </c>
      <c r="M26" s="776">
        <f t="shared" si="5"/>
        <v>-0.16339896373056989</v>
      </c>
      <c r="N26" s="772">
        <f t="shared" si="6"/>
        <v>1930</v>
      </c>
      <c r="O26" s="774">
        <f t="shared" si="7"/>
        <v>2462.6400000000003</v>
      </c>
      <c r="P26" s="773">
        <f t="shared" si="8"/>
        <v>532.64000000000033</v>
      </c>
      <c r="Q26" s="776">
        <f t="shared" si="9"/>
        <v>0.27597927461139915</v>
      </c>
    </row>
    <row r="27" spans="1:17" ht="21" x14ac:dyDescent="0.4">
      <c r="A27" s="758" t="s">
        <v>220</v>
      </c>
      <c r="B27" s="777"/>
      <c r="C27" s="778"/>
      <c r="D27" s="768">
        <f t="shared" si="0"/>
        <v>0</v>
      </c>
      <c r="E27" s="775">
        <f t="shared" si="1"/>
        <v>0</v>
      </c>
      <c r="F27" s="777"/>
      <c r="G27" s="779"/>
      <c r="H27" s="768">
        <f t="shared" si="2"/>
        <v>0</v>
      </c>
      <c r="I27" s="776">
        <f t="shared" si="3"/>
        <v>0</v>
      </c>
      <c r="J27" s="780">
        <v>0</v>
      </c>
      <c r="K27" s="781">
        <v>0</v>
      </c>
      <c r="L27" s="773">
        <f t="shared" si="4"/>
        <v>0</v>
      </c>
      <c r="M27" s="776">
        <f t="shared" si="5"/>
        <v>0</v>
      </c>
      <c r="N27" s="772">
        <f t="shared" si="6"/>
        <v>0</v>
      </c>
      <c r="O27" s="774">
        <f t="shared" si="7"/>
        <v>0</v>
      </c>
      <c r="P27" s="773">
        <f t="shared" si="8"/>
        <v>0</v>
      </c>
      <c r="Q27" s="776">
        <f t="shared" si="9"/>
        <v>0</v>
      </c>
    </row>
    <row r="28" spans="1:17" ht="21" x14ac:dyDescent="0.4">
      <c r="A28" s="758" t="s">
        <v>221</v>
      </c>
      <c r="B28" s="777"/>
      <c r="C28" s="778"/>
      <c r="D28" s="768">
        <f t="shared" si="0"/>
        <v>0</v>
      </c>
      <c r="E28" s="775">
        <f t="shared" si="1"/>
        <v>0</v>
      </c>
      <c r="F28" s="777"/>
      <c r="G28" s="779"/>
      <c r="H28" s="768">
        <f t="shared" si="2"/>
        <v>0</v>
      </c>
      <c r="I28" s="776">
        <f t="shared" si="3"/>
        <v>0</v>
      </c>
      <c r="J28" s="780"/>
      <c r="K28" s="781"/>
      <c r="L28" s="773">
        <f t="shared" si="4"/>
        <v>0</v>
      </c>
      <c r="M28" s="776">
        <f t="shared" si="5"/>
        <v>0</v>
      </c>
      <c r="N28" s="772">
        <f t="shared" si="6"/>
        <v>0</v>
      </c>
      <c r="O28" s="774">
        <f t="shared" si="7"/>
        <v>0</v>
      </c>
      <c r="P28" s="773">
        <f t="shared" si="8"/>
        <v>0</v>
      </c>
      <c r="Q28" s="776">
        <f t="shared" si="9"/>
        <v>0</v>
      </c>
    </row>
    <row r="29" spans="1:17" ht="105" x14ac:dyDescent="0.4">
      <c r="A29" s="792" t="s">
        <v>222</v>
      </c>
      <c r="B29" s="793"/>
      <c r="C29" s="794">
        <v>539</v>
      </c>
      <c r="D29" s="768">
        <f t="shared" si="0"/>
        <v>539</v>
      </c>
      <c r="E29" s="775">
        <f t="shared" si="1"/>
        <v>0</v>
      </c>
      <c r="F29" s="793"/>
      <c r="G29" s="795"/>
      <c r="H29" s="768">
        <f t="shared" si="2"/>
        <v>0</v>
      </c>
      <c r="I29" s="776">
        <f t="shared" si="3"/>
        <v>0</v>
      </c>
      <c r="J29" s="796">
        <v>0</v>
      </c>
      <c r="K29" s="797">
        <v>0</v>
      </c>
      <c r="L29" s="773">
        <f t="shared" si="4"/>
        <v>0</v>
      </c>
      <c r="M29" s="776">
        <f t="shared" si="5"/>
        <v>0</v>
      </c>
      <c r="N29" s="772">
        <f t="shared" si="6"/>
        <v>0</v>
      </c>
      <c r="O29" s="774">
        <f t="shared" si="7"/>
        <v>539</v>
      </c>
      <c r="P29" s="773">
        <f t="shared" si="8"/>
        <v>539</v>
      </c>
      <c r="Q29" s="776">
        <f t="shared" si="9"/>
        <v>0</v>
      </c>
    </row>
    <row r="30" spans="1:17" ht="21" x14ac:dyDescent="0.4">
      <c r="A30" s="758" t="s">
        <v>223</v>
      </c>
      <c r="B30" s="777"/>
      <c r="C30" s="778"/>
      <c r="D30" s="768">
        <f t="shared" si="0"/>
        <v>0</v>
      </c>
      <c r="E30" s="775">
        <f t="shared" si="1"/>
        <v>0</v>
      </c>
      <c r="F30" s="777"/>
      <c r="G30" s="779"/>
      <c r="H30" s="768">
        <f t="shared" si="2"/>
        <v>0</v>
      </c>
      <c r="I30" s="776">
        <f t="shared" si="3"/>
        <v>0</v>
      </c>
      <c r="J30" s="780">
        <v>0</v>
      </c>
      <c r="K30" s="781">
        <v>0</v>
      </c>
      <c r="L30" s="773">
        <f t="shared" si="4"/>
        <v>0</v>
      </c>
      <c r="M30" s="776">
        <f t="shared" si="5"/>
        <v>0</v>
      </c>
      <c r="N30" s="772">
        <f t="shared" si="6"/>
        <v>0</v>
      </c>
      <c r="O30" s="774">
        <f t="shared" si="7"/>
        <v>0</v>
      </c>
      <c r="P30" s="773">
        <f t="shared" si="8"/>
        <v>0</v>
      </c>
      <c r="Q30" s="776">
        <f t="shared" si="9"/>
        <v>0</v>
      </c>
    </row>
    <row r="31" spans="1:17" ht="21" x14ac:dyDescent="0.4">
      <c r="A31" s="758" t="s">
        <v>224</v>
      </c>
      <c r="B31" s="777"/>
      <c r="C31" s="778"/>
      <c r="D31" s="768">
        <f t="shared" si="0"/>
        <v>0</v>
      </c>
      <c r="E31" s="775">
        <f t="shared" si="1"/>
        <v>0</v>
      </c>
      <c r="F31" s="777"/>
      <c r="G31" s="779"/>
      <c r="H31" s="768">
        <f t="shared" si="2"/>
        <v>0</v>
      </c>
      <c r="I31" s="776">
        <f t="shared" si="3"/>
        <v>0</v>
      </c>
      <c r="J31" s="780">
        <v>0</v>
      </c>
      <c r="K31" s="781">
        <v>0</v>
      </c>
      <c r="L31" s="773">
        <f t="shared" si="4"/>
        <v>0</v>
      </c>
      <c r="M31" s="776">
        <f t="shared" si="5"/>
        <v>0</v>
      </c>
      <c r="N31" s="772">
        <f t="shared" si="6"/>
        <v>0</v>
      </c>
      <c r="O31" s="774">
        <f t="shared" si="7"/>
        <v>0</v>
      </c>
      <c r="P31" s="773">
        <f t="shared" si="8"/>
        <v>0</v>
      </c>
      <c r="Q31" s="776">
        <f t="shared" si="9"/>
        <v>0</v>
      </c>
    </row>
    <row r="32" spans="1:17" ht="21" x14ac:dyDescent="0.4">
      <c r="A32" s="758" t="s">
        <v>225</v>
      </c>
      <c r="B32" s="777" t="s">
        <v>226</v>
      </c>
      <c r="C32" s="778" t="s">
        <v>226</v>
      </c>
      <c r="D32" s="768" t="e">
        <f t="shared" si="0"/>
        <v>#VALUE!</v>
      </c>
      <c r="E32" s="775">
        <f t="shared" si="1"/>
        <v>0</v>
      </c>
      <c r="F32" s="777"/>
      <c r="G32" s="779"/>
      <c r="H32" s="768">
        <f t="shared" si="2"/>
        <v>0</v>
      </c>
      <c r="I32" s="776">
        <f t="shared" si="3"/>
        <v>0</v>
      </c>
      <c r="J32" s="780">
        <v>0</v>
      </c>
      <c r="K32" s="781">
        <v>0</v>
      </c>
      <c r="L32" s="773">
        <f t="shared" si="4"/>
        <v>0</v>
      </c>
      <c r="M32" s="776">
        <f t="shared" si="5"/>
        <v>0</v>
      </c>
      <c r="N32" s="772"/>
      <c r="O32" s="774"/>
      <c r="P32" s="773">
        <f t="shared" si="8"/>
        <v>0</v>
      </c>
      <c r="Q32" s="776">
        <f t="shared" si="9"/>
        <v>0</v>
      </c>
    </row>
    <row r="33" spans="1:17" ht="21.6" thickBot="1" x14ac:dyDescent="0.45">
      <c r="A33" s="782" t="s">
        <v>227</v>
      </c>
      <c r="B33" s="783">
        <v>0</v>
      </c>
      <c r="C33" s="784">
        <v>1387</v>
      </c>
      <c r="D33" s="785">
        <f t="shared" si="0"/>
        <v>1387</v>
      </c>
      <c r="E33" s="786">
        <f t="shared" si="1"/>
        <v>0</v>
      </c>
      <c r="F33" s="783">
        <v>0</v>
      </c>
      <c r="G33" s="783">
        <v>0</v>
      </c>
      <c r="H33" s="785">
        <f t="shared" si="2"/>
        <v>0</v>
      </c>
      <c r="I33" s="787">
        <f t="shared" si="3"/>
        <v>0</v>
      </c>
      <c r="J33" s="783">
        <v>1930</v>
      </c>
      <c r="K33" s="783">
        <v>1614.64</v>
      </c>
      <c r="L33" s="788">
        <f t="shared" si="4"/>
        <v>-315.3599999999999</v>
      </c>
      <c r="M33" s="787">
        <f t="shared" si="5"/>
        <v>-0.16339896373056989</v>
      </c>
      <c r="N33" s="789">
        <f t="shared" si="6"/>
        <v>1930</v>
      </c>
      <c r="O33" s="790">
        <f t="shared" si="7"/>
        <v>3001.6400000000003</v>
      </c>
      <c r="P33" s="788">
        <f t="shared" si="8"/>
        <v>1071.6400000000003</v>
      </c>
      <c r="Q33" s="787">
        <f t="shared" si="9"/>
        <v>0.55525388601036285</v>
      </c>
    </row>
    <row r="34" spans="1:17" ht="21.6" thickTop="1" x14ac:dyDescent="0.4">
      <c r="A34" s="758" t="s">
        <v>228</v>
      </c>
      <c r="B34" s="766"/>
      <c r="C34" s="767"/>
      <c r="D34" s="768"/>
      <c r="E34" s="775"/>
      <c r="F34" s="766"/>
      <c r="G34" s="770"/>
      <c r="H34" s="768"/>
      <c r="I34" s="776"/>
      <c r="J34" s="772"/>
      <c r="K34" s="771"/>
      <c r="L34" s="773">
        <f t="shared" si="4"/>
        <v>0</v>
      </c>
      <c r="M34" s="776">
        <f t="shared" si="5"/>
        <v>0</v>
      </c>
      <c r="N34" s="772">
        <f t="shared" si="6"/>
        <v>0</v>
      </c>
      <c r="O34" s="774">
        <f t="shared" si="7"/>
        <v>0</v>
      </c>
      <c r="P34" s="773">
        <f t="shared" si="8"/>
        <v>0</v>
      </c>
      <c r="Q34" s="776">
        <f t="shared" si="9"/>
        <v>0</v>
      </c>
    </row>
    <row r="35" spans="1:17" ht="21" x14ac:dyDescent="0.4">
      <c r="A35" s="758" t="s">
        <v>229</v>
      </c>
      <c r="B35" s="777">
        <v>3660</v>
      </c>
      <c r="C35" s="778">
        <v>3958</v>
      </c>
      <c r="D35" s="768">
        <f t="shared" si="0"/>
        <v>298</v>
      </c>
      <c r="E35" s="775">
        <f t="shared" si="1"/>
        <v>8.14207650273224E-2</v>
      </c>
      <c r="F35" s="777"/>
      <c r="G35" s="779"/>
      <c r="H35" s="768">
        <f t="shared" si="2"/>
        <v>0</v>
      </c>
      <c r="I35" s="776">
        <f t="shared" si="3"/>
        <v>0</v>
      </c>
      <c r="J35" s="780">
        <v>4444</v>
      </c>
      <c r="K35" s="781">
        <v>4752.57</v>
      </c>
      <c r="L35" s="773">
        <f t="shared" si="4"/>
        <v>308.56999999999971</v>
      </c>
      <c r="M35" s="776">
        <f t="shared" si="5"/>
        <v>6.9435193519351873E-2</v>
      </c>
      <c r="N35" s="772">
        <f t="shared" si="6"/>
        <v>8104</v>
      </c>
      <c r="O35" s="774">
        <f t="shared" si="7"/>
        <v>8710.57</v>
      </c>
      <c r="P35" s="773">
        <f t="shared" si="8"/>
        <v>606.56999999999971</v>
      </c>
      <c r="Q35" s="776">
        <f t="shared" si="9"/>
        <v>7.484822309970382E-2</v>
      </c>
    </row>
    <row r="36" spans="1:17" ht="21.6" thickBot="1" x14ac:dyDescent="0.45">
      <c r="A36" s="782" t="s">
        <v>230</v>
      </c>
      <c r="B36" s="783">
        <v>3660</v>
      </c>
      <c r="C36" s="784">
        <v>3958</v>
      </c>
      <c r="D36" s="785">
        <f t="shared" si="0"/>
        <v>298</v>
      </c>
      <c r="E36" s="786">
        <f t="shared" si="1"/>
        <v>8.14207650273224E-2</v>
      </c>
      <c r="F36" s="783">
        <v>0</v>
      </c>
      <c r="G36" s="783">
        <v>0</v>
      </c>
      <c r="H36" s="785">
        <f t="shared" si="2"/>
        <v>0</v>
      </c>
      <c r="I36" s="787">
        <f t="shared" si="3"/>
        <v>0</v>
      </c>
      <c r="J36" s="783">
        <v>4444</v>
      </c>
      <c r="K36" s="783">
        <v>4752.57</v>
      </c>
      <c r="L36" s="788">
        <f t="shared" si="4"/>
        <v>308.56999999999971</v>
      </c>
      <c r="M36" s="787">
        <f t="shared" si="5"/>
        <v>6.9435193519351873E-2</v>
      </c>
      <c r="N36" s="789">
        <f t="shared" si="6"/>
        <v>8104</v>
      </c>
      <c r="O36" s="790">
        <f t="shared" si="7"/>
        <v>8710.57</v>
      </c>
      <c r="P36" s="788">
        <f t="shared" si="8"/>
        <v>606.56999999999971</v>
      </c>
      <c r="Q36" s="787">
        <f t="shared" si="9"/>
        <v>7.484822309970382E-2</v>
      </c>
    </row>
    <row r="37" spans="1:17" ht="21.6" thickTop="1" x14ac:dyDescent="0.4">
      <c r="A37" s="758" t="s">
        <v>231</v>
      </c>
      <c r="B37" s="766"/>
      <c r="C37" s="767"/>
      <c r="D37" s="768"/>
      <c r="E37" s="775"/>
      <c r="F37" s="766"/>
      <c r="G37" s="770"/>
      <c r="H37" s="768"/>
      <c r="I37" s="776"/>
      <c r="J37" s="772"/>
      <c r="K37" s="771"/>
      <c r="L37" s="773">
        <f t="shared" si="4"/>
        <v>0</v>
      </c>
      <c r="M37" s="776">
        <f t="shared" si="5"/>
        <v>0</v>
      </c>
      <c r="N37" s="772">
        <f t="shared" si="6"/>
        <v>0</v>
      </c>
      <c r="O37" s="774">
        <f t="shared" si="7"/>
        <v>0</v>
      </c>
      <c r="P37" s="773">
        <f t="shared" si="8"/>
        <v>0</v>
      </c>
      <c r="Q37" s="776">
        <f t="shared" si="9"/>
        <v>0</v>
      </c>
    </row>
    <row r="38" spans="1:17" ht="21" x14ac:dyDescent="0.4">
      <c r="A38" s="758" t="s">
        <v>232</v>
      </c>
      <c r="B38" s="777">
        <v>24706</v>
      </c>
      <c r="C38" s="778">
        <v>26803</v>
      </c>
      <c r="D38" s="768">
        <f t="shared" si="0"/>
        <v>2097</v>
      </c>
      <c r="E38" s="775">
        <f t="shared" si="1"/>
        <v>8.4878167246822636E-2</v>
      </c>
      <c r="F38" s="777"/>
      <c r="G38" s="779"/>
      <c r="H38" s="768">
        <f t="shared" si="2"/>
        <v>0</v>
      </c>
      <c r="I38" s="776">
        <f t="shared" si="3"/>
        <v>0</v>
      </c>
      <c r="J38" s="780">
        <v>14245</v>
      </c>
      <c r="K38" s="781">
        <v>14553.96</v>
      </c>
      <c r="L38" s="773">
        <f t="shared" si="4"/>
        <v>308.95999999999913</v>
      </c>
      <c r="M38" s="776">
        <f t="shared" si="5"/>
        <v>2.1689013689013627E-2</v>
      </c>
      <c r="N38" s="772">
        <f t="shared" si="6"/>
        <v>38951</v>
      </c>
      <c r="O38" s="774">
        <f t="shared" si="7"/>
        <v>41356.959999999999</v>
      </c>
      <c r="P38" s="773">
        <f t="shared" si="8"/>
        <v>2405.9599999999991</v>
      </c>
      <c r="Q38" s="776">
        <f t="shared" si="9"/>
        <v>6.1768889117095813E-2</v>
      </c>
    </row>
    <row r="39" spans="1:17" ht="21" x14ac:dyDescent="0.4">
      <c r="A39" s="758" t="s">
        <v>233</v>
      </c>
      <c r="B39" s="777">
        <v>2466</v>
      </c>
      <c r="C39" s="778">
        <v>4377</v>
      </c>
      <c r="D39" s="768">
        <f t="shared" si="0"/>
        <v>1911</v>
      </c>
      <c r="E39" s="775">
        <f t="shared" si="1"/>
        <v>0.77493917274939172</v>
      </c>
      <c r="F39" s="777">
        <v>598</v>
      </c>
      <c r="G39" s="779"/>
      <c r="H39" s="768">
        <f t="shared" si="2"/>
        <v>-598</v>
      </c>
      <c r="I39" s="776">
        <f t="shared" si="3"/>
        <v>-1</v>
      </c>
      <c r="J39" s="780">
        <v>861</v>
      </c>
      <c r="K39" s="781">
        <v>763.85</v>
      </c>
      <c r="L39" s="773">
        <f t="shared" si="4"/>
        <v>-97.149999999999977</v>
      </c>
      <c r="M39" s="776">
        <f t="shared" si="5"/>
        <v>-0.11283391405342622</v>
      </c>
      <c r="N39" s="772">
        <f t="shared" si="6"/>
        <v>3925</v>
      </c>
      <c r="O39" s="774">
        <f t="shared" si="7"/>
        <v>5140.8500000000004</v>
      </c>
      <c r="P39" s="773">
        <f t="shared" si="8"/>
        <v>1215.8500000000004</v>
      </c>
      <c r="Q39" s="776">
        <f t="shared" si="9"/>
        <v>0.30977070063694279</v>
      </c>
    </row>
    <row r="40" spans="1:17" ht="21.6" thickBot="1" x14ac:dyDescent="0.45">
      <c r="A40" s="782" t="s">
        <v>234</v>
      </c>
      <c r="B40" s="783">
        <v>27172</v>
      </c>
      <c r="C40" s="784">
        <v>31180</v>
      </c>
      <c r="D40" s="785">
        <f t="shared" si="0"/>
        <v>4008</v>
      </c>
      <c r="E40" s="786">
        <f t="shared" si="1"/>
        <v>0.14750478433681732</v>
      </c>
      <c r="F40" s="783">
        <v>598</v>
      </c>
      <c r="G40" s="783">
        <v>0</v>
      </c>
      <c r="H40" s="785">
        <f t="shared" si="2"/>
        <v>-598</v>
      </c>
      <c r="I40" s="787">
        <f t="shared" si="3"/>
        <v>-1</v>
      </c>
      <c r="J40" s="783">
        <v>15106</v>
      </c>
      <c r="K40" s="783">
        <v>15317.81</v>
      </c>
      <c r="L40" s="788">
        <f t="shared" si="4"/>
        <v>211.80999999999949</v>
      </c>
      <c r="M40" s="787">
        <f t="shared" si="5"/>
        <v>1.4021580828809711E-2</v>
      </c>
      <c r="N40" s="789">
        <f t="shared" si="6"/>
        <v>42876</v>
      </c>
      <c r="O40" s="790">
        <f t="shared" si="7"/>
        <v>46497.81</v>
      </c>
      <c r="P40" s="788">
        <f t="shared" si="8"/>
        <v>3621.8099999999977</v>
      </c>
      <c r="Q40" s="787">
        <f t="shared" si="9"/>
        <v>8.4471732437727348E-2</v>
      </c>
    </row>
    <row r="41" spans="1:17" ht="21.6" thickTop="1" x14ac:dyDescent="0.4">
      <c r="A41" s="758" t="s">
        <v>235</v>
      </c>
      <c r="B41" s="766"/>
      <c r="C41" s="767"/>
      <c r="D41" s="768"/>
      <c r="E41" s="775"/>
      <c r="F41" s="766"/>
      <c r="G41" s="770"/>
      <c r="H41" s="768"/>
      <c r="I41" s="776"/>
      <c r="J41" s="772"/>
      <c r="K41" s="771"/>
      <c r="L41" s="773">
        <f t="shared" si="4"/>
        <v>0</v>
      </c>
      <c r="M41" s="776">
        <f t="shared" si="5"/>
        <v>0</v>
      </c>
      <c r="N41" s="772">
        <f t="shared" si="6"/>
        <v>0</v>
      </c>
      <c r="O41" s="774">
        <f t="shared" si="7"/>
        <v>0</v>
      </c>
      <c r="P41" s="773">
        <f t="shared" si="8"/>
        <v>0</v>
      </c>
      <c r="Q41" s="776">
        <f t="shared" si="9"/>
        <v>0</v>
      </c>
    </row>
    <row r="42" spans="1:17" ht="21" x14ac:dyDescent="0.4">
      <c r="A42" s="758" t="s">
        <v>236</v>
      </c>
      <c r="B42" s="777"/>
      <c r="C42" s="778"/>
      <c r="D42" s="768">
        <f t="shared" si="0"/>
        <v>0</v>
      </c>
      <c r="E42" s="775">
        <f t="shared" si="1"/>
        <v>0</v>
      </c>
      <c r="F42" s="777"/>
      <c r="G42" s="779"/>
      <c r="H42" s="768">
        <f t="shared" si="2"/>
        <v>0</v>
      </c>
      <c r="I42" s="776">
        <f t="shared" si="3"/>
        <v>0</v>
      </c>
      <c r="J42" s="780">
        <v>0</v>
      </c>
      <c r="K42" s="781">
        <v>0</v>
      </c>
      <c r="L42" s="773">
        <f t="shared" si="4"/>
        <v>0</v>
      </c>
      <c r="M42" s="776">
        <f t="shared" si="5"/>
        <v>0</v>
      </c>
      <c r="N42" s="772">
        <f t="shared" si="6"/>
        <v>0</v>
      </c>
      <c r="O42" s="774">
        <f t="shared" si="7"/>
        <v>0</v>
      </c>
      <c r="P42" s="773">
        <f t="shared" si="8"/>
        <v>0</v>
      </c>
      <c r="Q42" s="776">
        <f t="shared" si="9"/>
        <v>0</v>
      </c>
    </row>
    <row r="43" spans="1:17" ht="21" x14ac:dyDescent="0.4">
      <c r="A43" s="758" t="s">
        <v>237</v>
      </c>
      <c r="B43" s="777">
        <v>14294</v>
      </c>
      <c r="C43" s="778">
        <v>12835</v>
      </c>
      <c r="D43" s="768">
        <f t="shared" si="0"/>
        <v>-1459</v>
      </c>
      <c r="E43" s="775">
        <f t="shared" si="1"/>
        <v>-0.10207079893661676</v>
      </c>
      <c r="F43" s="777">
        <v>1301</v>
      </c>
      <c r="G43" s="779">
        <v>1266.97</v>
      </c>
      <c r="H43" s="768">
        <f t="shared" si="2"/>
        <v>-34.029999999999973</v>
      </c>
      <c r="I43" s="776">
        <f t="shared" si="3"/>
        <v>-2.6156802459646404E-2</v>
      </c>
      <c r="J43" s="780">
        <v>10442</v>
      </c>
      <c r="K43" s="781">
        <v>9773.69</v>
      </c>
      <c r="L43" s="773">
        <f t="shared" si="4"/>
        <v>-668.30999999999949</v>
      </c>
      <c r="M43" s="776">
        <f t="shared" si="5"/>
        <v>-6.4002106876077325E-2</v>
      </c>
      <c r="N43" s="772">
        <f t="shared" si="6"/>
        <v>26037</v>
      </c>
      <c r="O43" s="774">
        <f t="shared" si="7"/>
        <v>23875.66</v>
      </c>
      <c r="P43" s="773">
        <f t="shared" si="8"/>
        <v>-2161.34</v>
      </c>
      <c r="Q43" s="776">
        <f t="shared" si="9"/>
        <v>-8.3010331451396094E-2</v>
      </c>
    </row>
    <row r="44" spans="1:17" ht="21" x14ac:dyDescent="0.4">
      <c r="A44" s="758" t="s">
        <v>238</v>
      </c>
      <c r="B44" s="777">
        <v>12680</v>
      </c>
      <c r="C44" s="778">
        <v>11808</v>
      </c>
      <c r="D44" s="768">
        <f t="shared" si="0"/>
        <v>-872</v>
      </c>
      <c r="E44" s="775">
        <f t="shared" si="1"/>
        <v>-6.8769716088328076E-2</v>
      </c>
      <c r="F44" s="777">
        <v>810</v>
      </c>
      <c r="G44" s="779">
        <v>713.24</v>
      </c>
      <c r="H44" s="768">
        <f t="shared" si="2"/>
        <v>-96.759999999999991</v>
      </c>
      <c r="I44" s="776">
        <f t="shared" si="3"/>
        <v>-0.11945679012345678</v>
      </c>
      <c r="J44" s="780">
        <v>9257</v>
      </c>
      <c r="K44" s="781">
        <v>7857.76</v>
      </c>
      <c r="L44" s="773">
        <f t="shared" si="4"/>
        <v>-1399.2399999999998</v>
      </c>
      <c r="M44" s="776">
        <f t="shared" si="5"/>
        <v>-0.15115480177163226</v>
      </c>
      <c r="N44" s="772">
        <f t="shared" si="6"/>
        <v>22747</v>
      </c>
      <c r="O44" s="774">
        <f t="shared" si="7"/>
        <v>20379</v>
      </c>
      <c r="P44" s="773">
        <f t="shared" si="8"/>
        <v>-2368</v>
      </c>
      <c r="Q44" s="776">
        <f t="shared" si="9"/>
        <v>-0.10410163977667385</v>
      </c>
    </row>
    <row r="45" spans="1:17" ht="21.6" thickBot="1" x14ac:dyDescent="0.45">
      <c r="A45" s="782" t="s">
        <v>239</v>
      </c>
      <c r="B45" s="783">
        <v>26974</v>
      </c>
      <c r="C45" s="784">
        <v>24643</v>
      </c>
      <c r="D45" s="785">
        <f t="shared" si="0"/>
        <v>-2331</v>
      </c>
      <c r="E45" s="786">
        <f t="shared" si="1"/>
        <v>-8.6416549269667089E-2</v>
      </c>
      <c r="F45" s="783">
        <v>2111</v>
      </c>
      <c r="G45" s="783">
        <v>1980.21</v>
      </c>
      <c r="H45" s="785">
        <f t="shared" si="2"/>
        <v>-130.78999999999996</v>
      </c>
      <c r="I45" s="787">
        <f t="shared" si="3"/>
        <v>-6.1956418758882026E-2</v>
      </c>
      <c r="J45" s="783">
        <v>19699</v>
      </c>
      <c r="K45" s="783">
        <v>17631.45</v>
      </c>
      <c r="L45" s="788">
        <f t="shared" si="4"/>
        <v>-2067.5499999999993</v>
      </c>
      <c r="M45" s="787">
        <f t="shared" si="5"/>
        <v>-0.1049571044215442</v>
      </c>
      <c r="N45" s="789">
        <f t="shared" si="6"/>
        <v>48784</v>
      </c>
      <c r="O45" s="790">
        <f t="shared" si="7"/>
        <v>44254.66</v>
      </c>
      <c r="P45" s="788">
        <f t="shared" si="8"/>
        <v>-4529.3399999999965</v>
      </c>
      <c r="Q45" s="787">
        <f t="shared" si="9"/>
        <v>-9.2844785175467293E-2</v>
      </c>
    </row>
    <row r="46" spans="1:17" ht="22.2" thickTop="1" thickBot="1" x14ac:dyDescent="0.45">
      <c r="A46" s="782" t="s">
        <v>240</v>
      </c>
      <c r="B46" s="798">
        <v>1210</v>
      </c>
      <c r="C46" s="799">
        <v>1208</v>
      </c>
      <c r="D46" s="785">
        <f t="shared" si="0"/>
        <v>-2</v>
      </c>
      <c r="E46" s="786">
        <f t="shared" si="1"/>
        <v>-1.652892561983471E-3</v>
      </c>
      <c r="F46" s="798"/>
      <c r="G46" s="800">
        <v>188.94</v>
      </c>
      <c r="H46" s="785">
        <f t="shared" si="2"/>
        <v>188.94</v>
      </c>
      <c r="I46" s="787">
        <f t="shared" si="3"/>
        <v>0</v>
      </c>
      <c r="J46" s="801">
        <v>2202</v>
      </c>
      <c r="K46" s="802">
        <v>6207.34</v>
      </c>
      <c r="L46" s="788">
        <f t="shared" si="4"/>
        <v>4005.34</v>
      </c>
      <c r="M46" s="787">
        <f t="shared" si="5"/>
        <v>1.8189554950045415</v>
      </c>
      <c r="N46" s="789">
        <f t="shared" si="6"/>
        <v>3412</v>
      </c>
      <c r="O46" s="790">
        <f t="shared" si="7"/>
        <v>7604.2800000000007</v>
      </c>
      <c r="P46" s="788">
        <f t="shared" si="8"/>
        <v>4192.2800000000007</v>
      </c>
      <c r="Q46" s="787">
        <f t="shared" si="9"/>
        <v>1.2286869871043378</v>
      </c>
    </row>
    <row r="47" spans="1:17" ht="21.6" thickTop="1" x14ac:dyDescent="0.4">
      <c r="A47" s="758" t="s">
        <v>241</v>
      </c>
      <c r="B47" s="777"/>
      <c r="C47" s="778"/>
      <c r="D47" s="768"/>
      <c r="E47" s="775"/>
      <c r="F47" s="777"/>
      <c r="G47" s="779"/>
      <c r="H47" s="768"/>
      <c r="I47" s="776"/>
      <c r="J47" s="780"/>
      <c r="K47" s="781"/>
      <c r="L47" s="773">
        <f t="shared" si="4"/>
        <v>0</v>
      </c>
      <c r="M47" s="776">
        <f t="shared" si="5"/>
        <v>0</v>
      </c>
      <c r="N47" s="772">
        <f t="shared" si="6"/>
        <v>0</v>
      </c>
      <c r="O47" s="774">
        <f t="shared" si="7"/>
        <v>0</v>
      </c>
      <c r="P47" s="773">
        <f t="shared" si="8"/>
        <v>0</v>
      </c>
      <c r="Q47" s="776">
        <f t="shared" si="9"/>
        <v>0</v>
      </c>
    </row>
    <row r="48" spans="1:17" ht="21" x14ac:dyDescent="0.4">
      <c r="A48" s="758" t="s">
        <v>242</v>
      </c>
      <c r="B48" s="777">
        <v>5561</v>
      </c>
      <c r="C48" s="778">
        <v>5413</v>
      </c>
      <c r="D48" s="768">
        <f t="shared" si="0"/>
        <v>-148</v>
      </c>
      <c r="E48" s="775">
        <f t="shared" si="1"/>
        <v>-2.6613918360007194E-2</v>
      </c>
      <c r="F48" s="777"/>
      <c r="G48" s="779"/>
      <c r="H48" s="768">
        <f t="shared" si="2"/>
        <v>0</v>
      </c>
      <c r="I48" s="776">
        <f t="shared" si="3"/>
        <v>0</v>
      </c>
      <c r="J48" s="780">
        <v>2646</v>
      </c>
      <c r="K48" s="781">
        <v>1767.73</v>
      </c>
      <c r="L48" s="773">
        <f t="shared" si="4"/>
        <v>-878.27</v>
      </c>
      <c r="M48" s="776">
        <f t="shared" si="5"/>
        <v>-0.33192365835222976</v>
      </c>
      <c r="N48" s="772">
        <f t="shared" si="6"/>
        <v>8207</v>
      </c>
      <c r="O48" s="774">
        <f t="shared" si="7"/>
        <v>7180.73</v>
      </c>
      <c r="P48" s="773">
        <f t="shared" si="8"/>
        <v>-1026.2700000000004</v>
      </c>
      <c r="Q48" s="776">
        <f t="shared" si="9"/>
        <v>-0.12504812964542469</v>
      </c>
    </row>
    <row r="49" spans="1:17" ht="21" x14ac:dyDescent="0.4">
      <c r="A49" s="758" t="s">
        <v>243</v>
      </c>
      <c r="B49" s="777">
        <v>3015</v>
      </c>
      <c r="C49" s="778">
        <v>3618</v>
      </c>
      <c r="D49" s="768">
        <f t="shared" si="0"/>
        <v>603</v>
      </c>
      <c r="E49" s="775">
        <f t="shared" si="1"/>
        <v>0.2</v>
      </c>
      <c r="F49" s="777"/>
      <c r="G49" s="779"/>
      <c r="H49" s="768">
        <f t="shared" si="2"/>
        <v>0</v>
      </c>
      <c r="I49" s="776">
        <f t="shared" si="3"/>
        <v>0</v>
      </c>
      <c r="J49" s="780">
        <v>5187</v>
      </c>
      <c r="K49" s="781">
        <v>5187.4799999999996</v>
      </c>
      <c r="L49" s="773">
        <f t="shared" si="4"/>
        <v>0.47999999999956344</v>
      </c>
      <c r="M49" s="776">
        <f t="shared" si="5"/>
        <v>9.253903990737679E-5</v>
      </c>
      <c r="N49" s="772">
        <f t="shared" si="6"/>
        <v>8202</v>
      </c>
      <c r="O49" s="774">
        <f t="shared" si="7"/>
        <v>8805.48</v>
      </c>
      <c r="P49" s="773">
        <f t="shared" si="8"/>
        <v>603.47999999999956</v>
      </c>
      <c r="Q49" s="776">
        <f t="shared" si="9"/>
        <v>7.3577176298463734E-2</v>
      </c>
    </row>
    <row r="50" spans="1:17" ht="21.6" thickBot="1" x14ac:dyDescent="0.45">
      <c r="A50" s="782" t="s">
        <v>244</v>
      </c>
      <c r="B50" s="783">
        <v>8576</v>
      </c>
      <c r="C50" s="784">
        <v>9031</v>
      </c>
      <c r="D50" s="785">
        <f t="shared" si="0"/>
        <v>455</v>
      </c>
      <c r="E50" s="786">
        <f t="shared" si="1"/>
        <v>5.3055037313432835E-2</v>
      </c>
      <c r="F50" s="783">
        <v>0</v>
      </c>
      <c r="G50" s="783">
        <v>0</v>
      </c>
      <c r="H50" s="785">
        <f t="shared" si="2"/>
        <v>0</v>
      </c>
      <c r="I50" s="787">
        <f t="shared" si="3"/>
        <v>0</v>
      </c>
      <c r="J50" s="783">
        <v>7833</v>
      </c>
      <c r="K50" s="783">
        <v>6955.2099999999991</v>
      </c>
      <c r="L50" s="788">
        <f t="shared" si="4"/>
        <v>-877.79000000000087</v>
      </c>
      <c r="M50" s="787">
        <f t="shared" si="5"/>
        <v>-0.11206306651346877</v>
      </c>
      <c r="N50" s="789">
        <f t="shared" si="6"/>
        <v>16409</v>
      </c>
      <c r="O50" s="790">
        <f t="shared" si="7"/>
        <v>15986.21</v>
      </c>
      <c r="P50" s="788">
        <f t="shared" si="8"/>
        <v>-422.79000000000087</v>
      </c>
      <c r="Q50" s="787">
        <f t="shared" si="9"/>
        <v>-2.5765738314339745E-2</v>
      </c>
    </row>
    <row r="51" spans="1:17" ht="21.6" thickTop="1" x14ac:dyDescent="0.4">
      <c r="A51" s="758" t="s">
        <v>245</v>
      </c>
      <c r="B51" s="766"/>
      <c r="C51" s="767"/>
      <c r="D51" s="768"/>
      <c r="E51" s="775"/>
      <c r="F51" s="766"/>
      <c r="G51" s="770"/>
      <c r="H51" s="768"/>
      <c r="I51" s="776"/>
      <c r="J51" s="772"/>
      <c r="K51" s="771"/>
      <c r="L51" s="773">
        <f t="shared" si="4"/>
        <v>0</v>
      </c>
      <c r="M51" s="776">
        <f t="shared" si="5"/>
        <v>0</v>
      </c>
      <c r="N51" s="772">
        <f t="shared" si="6"/>
        <v>0</v>
      </c>
      <c r="O51" s="774">
        <f t="shared" si="7"/>
        <v>0</v>
      </c>
      <c r="P51" s="773">
        <f t="shared" si="8"/>
        <v>0</v>
      </c>
      <c r="Q51" s="776">
        <f t="shared" si="9"/>
        <v>0</v>
      </c>
    </row>
    <row r="52" spans="1:17" ht="21" x14ac:dyDescent="0.4">
      <c r="A52" s="758" t="s">
        <v>246</v>
      </c>
      <c r="B52" s="777"/>
      <c r="C52" s="778"/>
      <c r="D52" s="768">
        <f t="shared" si="0"/>
        <v>0</v>
      </c>
      <c r="E52" s="775">
        <f t="shared" si="1"/>
        <v>0</v>
      </c>
      <c r="F52" s="777"/>
      <c r="G52" s="779"/>
      <c r="H52" s="768">
        <f t="shared" si="2"/>
        <v>0</v>
      </c>
      <c r="I52" s="776">
        <f t="shared" si="3"/>
        <v>0</v>
      </c>
      <c r="J52" s="780">
        <v>0</v>
      </c>
      <c r="K52" s="781">
        <v>0</v>
      </c>
      <c r="L52" s="773">
        <f t="shared" si="4"/>
        <v>0</v>
      </c>
      <c r="M52" s="776">
        <f t="shared" si="5"/>
        <v>0</v>
      </c>
      <c r="N52" s="772">
        <f t="shared" si="6"/>
        <v>0</v>
      </c>
      <c r="O52" s="774">
        <f t="shared" si="7"/>
        <v>0</v>
      </c>
      <c r="P52" s="773">
        <f t="shared" si="8"/>
        <v>0</v>
      </c>
      <c r="Q52" s="776">
        <f t="shared" si="9"/>
        <v>0</v>
      </c>
    </row>
    <row r="53" spans="1:17" ht="21" x14ac:dyDescent="0.4">
      <c r="A53" s="758" t="s">
        <v>247</v>
      </c>
      <c r="B53" s="777"/>
      <c r="C53" s="778"/>
      <c r="D53" s="768">
        <f t="shared" si="0"/>
        <v>0</v>
      </c>
      <c r="E53" s="775">
        <f t="shared" si="1"/>
        <v>0</v>
      </c>
      <c r="F53" s="777"/>
      <c r="G53" s="779"/>
      <c r="H53" s="768">
        <f t="shared" si="2"/>
        <v>0</v>
      </c>
      <c r="I53" s="776">
        <f t="shared" si="3"/>
        <v>0</v>
      </c>
      <c r="J53" s="780">
        <v>0</v>
      </c>
      <c r="K53" s="781">
        <v>0</v>
      </c>
      <c r="L53" s="773">
        <f t="shared" si="4"/>
        <v>0</v>
      </c>
      <c r="M53" s="776">
        <f t="shared" si="5"/>
        <v>0</v>
      </c>
      <c r="N53" s="772">
        <f t="shared" si="6"/>
        <v>0</v>
      </c>
      <c r="O53" s="774">
        <f t="shared" si="7"/>
        <v>0</v>
      </c>
      <c r="P53" s="773">
        <f t="shared" si="8"/>
        <v>0</v>
      </c>
      <c r="Q53" s="776">
        <f t="shared" si="9"/>
        <v>0</v>
      </c>
    </row>
    <row r="54" spans="1:17" ht="21" x14ac:dyDescent="0.4">
      <c r="A54" s="758" t="s">
        <v>248</v>
      </c>
      <c r="B54" s="777">
        <v>83</v>
      </c>
      <c r="C54" s="778">
        <v>67</v>
      </c>
      <c r="D54" s="768">
        <f t="shared" si="0"/>
        <v>-16</v>
      </c>
      <c r="E54" s="775">
        <f t="shared" si="1"/>
        <v>-0.19277108433734941</v>
      </c>
      <c r="F54" s="777"/>
      <c r="G54" s="779">
        <v>1774.13</v>
      </c>
      <c r="H54" s="768">
        <f t="shared" si="2"/>
        <v>1774.13</v>
      </c>
      <c r="I54" s="776">
        <f t="shared" si="3"/>
        <v>0</v>
      </c>
      <c r="J54" s="780">
        <v>118</v>
      </c>
      <c r="K54" s="781">
        <v>183.3</v>
      </c>
      <c r="L54" s="773">
        <f t="shared" si="4"/>
        <v>65.300000000000011</v>
      </c>
      <c r="M54" s="776">
        <f t="shared" si="5"/>
        <v>0.55338983050847468</v>
      </c>
      <c r="N54" s="772">
        <f t="shared" si="6"/>
        <v>201</v>
      </c>
      <c r="O54" s="774">
        <f t="shared" si="7"/>
        <v>2024.43</v>
      </c>
      <c r="P54" s="773">
        <f t="shared" si="8"/>
        <v>1823.43</v>
      </c>
      <c r="Q54" s="776">
        <f t="shared" si="9"/>
        <v>9.0717910447761199</v>
      </c>
    </row>
    <row r="55" spans="1:17" ht="21.6" thickBot="1" x14ac:dyDescent="0.45">
      <c r="A55" s="782" t="s">
        <v>249</v>
      </c>
      <c r="B55" s="803">
        <v>83</v>
      </c>
      <c r="C55" s="804">
        <v>67</v>
      </c>
      <c r="D55" s="805">
        <f t="shared" si="0"/>
        <v>-16</v>
      </c>
      <c r="E55" s="806">
        <f t="shared" si="1"/>
        <v>-0.19277108433734941</v>
      </c>
      <c r="F55" s="803">
        <v>0</v>
      </c>
      <c r="G55" s="803">
        <v>1774.13</v>
      </c>
      <c r="H55" s="805">
        <f t="shared" si="2"/>
        <v>1774.13</v>
      </c>
      <c r="I55" s="807">
        <f t="shared" si="3"/>
        <v>0</v>
      </c>
      <c r="J55" s="808">
        <v>118</v>
      </c>
      <c r="K55" s="808">
        <v>183.3</v>
      </c>
      <c r="L55" s="809">
        <f t="shared" si="4"/>
        <v>65.300000000000011</v>
      </c>
      <c r="M55" s="807">
        <f t="shared" si="5"/>
        <v>0.55338983050847468</v>
      </c>
      <c r="N55" s="810">
        <f t="shared" si="6"/>
        <v>201</v>
      </c>
      <c r="O55" s="811">
        <f t="shared" si="7"/>
        <v>2024.43</v>
      </c>
      <c r="P55" s="809">
        <f t="shared" si="8"/>
        <v>1823.43</v>
      </c>
      <c r="Q55" s="807">
        <f t="shared" si="9"/>
        <v>9.0717910447761199</v>
      </c>
    </row>
    <row r="56" spans="1:17" ht="22.2" thickTop="1" thickBot="1" x14ac:dyDescent="0.45">
      <c r="A56" s="812" t="s">
        <v>250</v>
      </c>
      <c r="B56" s="813">
        <v>106865</v>
      </c>
      <c r="C56" s="814">
        <v>296820</v>
      </c>
      <c r="D56" s="815">
        <f t="shared" si="0"/>
        <v>189955</v>
      </c>
      <c r="E56" s="816">
        <f t="shared" si="1"/>
        <v>1.7775230430917512</v>
      </c>
      <c r="F56" s="813">
        <v>18239</v>
      </c>
      <c r="G56" s="813">
        <v>22012.240000000002</v>
      </c>
      <c r="H56" s="815">
        <f t="shared" si="2"/>
        <v>3773.2400000000016</v>
      </c>
      <c r="I56" s="817">
        <f t="shared" si="3"/>
        <v>0.20687757004221732</v>
      </c>
      <c r="J56" s="818">
        <v>341588.14</v>
      </c>
      <c r="K56" s="818">
        <v>339971.45000000007</v>
      </c>
      <c r="L56" s="819">
        <f t="shared" si="4"/>
        <v>-1616.6899999999441</v>
      </c>
      <c r="M56" s="817">
        <f t="shared" si="5"/>
        <v>-4.7328633833714018E-3</v>
      </c>
      <c r="N56" s="820">
        <f t="shared" si="6"/>
        <v>466692.14</v>
      </c>
      <c r="O56" s="819">
        <f t="shared" si="7"/>
        <v>658803.69000000006</v>
      </c>
      <c r="P56" s="819">
        <f t="shared" si="8"/>
        <v>192111.55000000005</v>
      </c>
      <c r="Q56" s="817">
        <f t="shared" si="9"/>
        <v>0.41164513719901097</v>
      </c>
    </row>
    <row r="57" spans="1:17" ht="22.2" thickTop="1" thickBot="1" x14ac:dyDescent="0.45">
      <c r="A57" s="821" t="s">
        <v>251</v>
      </c>
      <c r="B57" s="822">
        <v>22179</v>
      </c>
      <c r="C57" s="823">
        <v>60016</v>
      </c>
      <c r="D57" s="824">
        <f t="shared" si="0"/>
        <v>37837</v>
      </c>
      <c r="E57" s="825">
        <f t="shared" si="1"/>
        <v>1.7059831372018577</v>
      </c>
      <c r="F57" s="822">
        <v>6142</v>
      </c>
      <c r="G57" s="824">
        <v>4905.1351559136547</v>
      </c>
      <c r="H57" s="824">
        <f t="shared" si="2"/>
        <v>-1236.8648440863453</v>
      </c>
      <c r="I57" s="826">
        <f t="shared" si="3"/>
        <v>-0.20137819018012787</v>
      </c>
      <c r="J57" s="827">
        <v>3796</v>
      </c>
      <c r="K57" s="828"/>
      <c r="L57" s="829">
        <f t="shared" si="4"/>
        <v>-3796</v>
      </c>
      <c r="M57" s="826">
        <f t="shared" si="5"/>
        <v>-1</v>
      </c>
      <c r="N57" s="830">
        <f t="shared" si="6"/>
        <v>32117</v>
      </c>
      <c r="O57" s="831">
        <f t="shared" si="7"/>
        <v>64921.135155913653</v>
      </c>
      <c r="P57" s="829">
        <f t="shared" si="8"/>
        <v>32804.135155913653</v>
      </c>
      <c r="Q57" s="826">
        <f t="shared" si="9"/>
        <v>1.0213947490710107</v>
      </c>
    </row>
    <row r="58" spans="1:17" ht="22.2" thickTop="1" thickBot="1" x14ac:dyDescent="0.45">
      <c r="A58" s="832" t="s">
        <v>252</v>
      </c>
      <c r="B58" s="833">
        <v>129044</v>
      </c>
      <c r="C58" s="834">
        <v>356836</v>
      </c>
      <c r="D58" s="835">
        <f>C58-B58</f>
        <v>227792</v>
      </c>
      <c r="E58" s="836">
        <f>IFERROR((D58/B58),0)</f>
        <v>1.7652273643098477</v>
      </c>
      <c r="F58" s="833">
        <v>24381</v>
      </c>
      <c r="G58" s="835">
        <v>26917.375155913658</v>
      </c>
      <c r="H58" s="835">
        <f t="shared" si="2"/>
        <v>2536.3751559136581</v>
      </c>
      <c r="I58" s="837">
        <f t="shared" si="3"/>
        <v>0.10403080906909717</v>
      </c>
      <c r="J58" s="838">
        <v>345384.14</v>
      </c>
      <c r="K58" s="838">
        <v>339971.45000000007</v>
      </c>
      <c r="L58" s="839">
        <f t="shared" si="4"/>
        <v>-5412.6899999999441</v>
      </c>
      <c r="M58" s="837">
        <f t="shared" si="5"/>
        <v>-1.5671507093521851E-2</v>
      </c>
      <c r="N58" s="840">
        <f t="shared" si="6"/>
        <v>498809.14</v>
      </c>
      <c r="O58" s="841">
        <f t="shared" si="7"/>
        <v>723724.82515591371</v>
      </c>
      <c r="P58" s="839">
        <f t="shared" si="8"/>
        <v>224915.6851559137</v>
      </c>
      <c r="Q58" s="837">
        <f t="shared" si="9"/>
        <v>0.45090530048409638</v>
      </c>
    </row>
    <row r="59" spans="1:17" ht="21.6" thickTop="1" x14ac:dyDescent="0.4">
      <c r="A59" s="842"/>
      <c r="B59" s="843"/>
      <c r="C59" s="700"/>
      <c r="D59" s="276"/>
      <c r="E59" s="276"/>
      <c r="F59" s="843"/>
      <c r="G59" s="844"/>
      <c r="H59" s="845"/>
      <c r="I59" s="845"/>
      <c r="J59" s="846"/>
      <c r="K59" s="700"/>
      <c r="L59" s="845"/>
      <c r="M59" s="700"/>
      <c r="N59" s="843"/>
      <c r="O59" s="847"/>
      <c r="P59" s="848"/>
      <c r="Q59" s="844"/>
    </row>
    <row r="60" spans="1:17" ht="21" x14ac:dyDescent="0.4">
      <c r="A60" s="849" t="s">
        <v>253</v>
      </c>
      <c r="B60" s="850"/>
      <c r="C60" s="851"/>
      <c r="D60" s="852"/>
      <c r="E60" s="853"/>
      <c r="F60" s="850"/>
      <c r="G60" s="851"/>
      <c r="H60" s="852"/>
      <c r="I60" s="853"/>
      <c r="J60" s="850"/>
      <c r="K60" s="851"/>
      <c r="L60" s="852"/>
      <c r="M60" s="851"/>
      <c r="N60" s="850">
        <f>F60+J60+B60</f>
        <v>0</v>
      </c>
      <c r="O60" s="854">
        <f>G60+K60+C60</f>
        <v>0</v>
      </c>
      <c r="P60" s="854"/>
      <c r="Q60" s="851"/>
    </row>
    <row r="61" spans="1:17" ht="21" x14ac:dyDescent="0.4">
      <c r="A61" s="849" t="s">
        <v>254</v>
      </c>
      <c r="B61" s="850">
        <v>9</v>
      </c>
      <c r="C61" s="851">
        <v>94</v>
      </c>
      <c r="D61" s="852"/>
      <c r="E61" s="853"/>
      <c r="F61" s="850"/>
      <c r="G61" s="851"/>
      <c r="H61" s="852"/>
      <c r="I61" s="853"/>
      <c r="J61" s="850"/>
      <c r="K61" s="851"/>
      <c r="L61" s="852"/>
      <c r="M61" s="851"/>
      <c r="N61" s="850">
        <f t="shared" ref="N61:O67" si="10">F61+J61+B61</f>
        <v>9</v>
      </c>
      <c r="O61" s="854">
        <f t="shared" si="10"/>
        <v>94</v>
      </c>
      <c r="P61" s="854"/>
      <c r="Q61" s="851"/>
    </row>
    <row r="62" spans="1:17" ht="21" x14ac:dyDescent="0.4">
      <c r="A62" s="849" t="s">
        <v>255</v>
      </c>
      <c r="B62" s="850"/>
      <c r="C62" s="851"/>
      <c r="D62" s="852"/>
      <c r="E62" s="853"/>
      <c r="F62" s="850"/>
      <c r="G62" s="851"/>
      <c r="H62" s="852"/>
      <c r="I62" s="853"/>
      <c r="J62" s="850"/>
      <c r="K62" s="851"/>
      <c r="L62" s="852"/>
      <c r="M62" s="851"/>
      <c r="N62" s="850">
        <f t="shared" si="10"/>
        <v>0</v>
      </c>
      <c r="O62" s="854">
        <f t="shared" si="10"/>
        <v>0</v>
      </c>
      <c r="P62" s="854"/>
      <c r="Q62" s="851"/>
    </row>
    <row r="63" spans="1:17" ht="21" x14ac:dyDescent="0.4">
      <c r="A63" s="849" t="s">
        <v>256</v>
      </c>
      <c r="B63" s="855">
        <v>0</v>
      </c>
      <c r="C63" s="856">
        <v>0</v>
      </c>
      <c r="D63" s="857"/>
      <c r="E63" s="858"/>
      <c r="F63" s="855"/>
      <c r="G63" s="856"/>
      <c r="H63" s="857"/>
      <c r="I63" s="858"/>
      <c r="J63" s="850"/>
      <c r="K63" s="851"/>
      <c r="L63" s="852"/>
      <c r="M63" s="851"/>
      <c r="N63" s="859">
        <f>F63+J63+B63</f>
        <v>0</v>
      </c>
      <c r="O63" s="854">
        <f t="shared" si="10"/>
        <v>0</v>
      </c>
      <c r="P63" s="854"/>
      <c r="Q63" s="851"/>
    </row>
    <row r="64" spans="1:17" ht="21" x14ac:dyDescent="0.4">
      <c r="A64" s="849" t="s">
        <v>257</v>
      </c>
      <c r="B64" s="855">
        <v>3784</v>
      </c>
      <c r="C64" s="856">
        <v>3586</v>
      </c>
      <c r="D64" s="857"/>
      <c r="E64" s="858"/>
      <c r="F64" s="855"/>
      <c r="G64" s="856">
        <v>6481</v>
      </c>
      <c r="H64" s="857"/>
      <c r="I64" s="858"/>
      <c r="J64" s="850">
        <v>3806</v>
      </c>
      <c r="K64" s="851">
        <v>3847</v>
      </c>
      <c r="L64" s="852"/>
      <c r="M64" s="851"/>
      <c r="N64" s="850">
        <f t="shared" si="10"/>
        <v>7590</v>
      </c>
      <c r="O64" s="854">
        <f t="shared" si="10"/>
        <v>13914</v>
      </c>
      <c r="P64" s="854"/>
      <c r="Q64" s="851"/>
    </row>
    <row r="65" spans="1:17" ht="21" x14ac:dyDescent="0.4">
      <c r="A65" s="849" t="s">
        <v>258</v>
      </c>
      <c r="B65" s="855"/>
      <c r="C65" s="856"/>
      <c r="D65" s="857"/>
      <c r="E65" s="858"/>
      <c r="F65" s="855"/>
      <c r="G65" s="856"/>
      <c r="H65" s="857"/>
      <c r="I65" s="858"/>
      <c r="J65" s="850"/>
      <c r="K65" s="851"/>
      <c r="L65" s="852"/>
      <c r="M65" s="851"/>
      <c r="N65" s="850">
        <f t="shared" si="10"/>
        <v>0</v>
      </c>
      <c r="O65" s="854">
        <f t="shared" si="10"/>
        <v>0</v>
      </c>
      <c r="P65" s="854"/>
      <c r="Q65" s="851"/>
    </row>
    <row r="66" spans="1:17" ht="21.6" thickBot="1" x14ac:dyDescent="0.45">
      <c r="A66" s="860" t="s">
        <v>259</v>
      </c>
      <c r="B66" s="861">
        <v>272</v>
      </c>
      <c r="C66" s="862">
        <v>538</v>
      </c>
      <c r="D66" s="863"/>
      <c r="E66" s="864"/>
      <c r="F66" s="861"/>
      <c r="G66" s="862"/>
      <c r="H66" s="863"/>
      <c r="I66" s="864"/>
      <c r="J66" s="865"/>
      <c r="K66" s="866"/>
      <c r="L66" s="867"/>
      <c r="M66" s="866"/>
      <c r="N66" s="865">
        <f t="shared" si="10"/>
        <v>272</v>
      </c>
      <c r="O66" s="868">
        <f t="shared" si="10"/>
        <v>538</v>
      </c>
      <c r="P66" s="868"/>
      <c r="Q66" s="866"/>
    </row>
    <row r="67" spans="1:17" ht="21.6" thickBot="1" x14ac:dyDescent="0.45">
      <c r="A67" s="869" t="s">
        <v>260</v>
      </c>
      <c r="B67" s="870">
        <v>4065</v>
      </c>
      <c r="C67" s="871">
        <v>4218</v>
      </c>
      <c r="D67" s="872">
        <f>C67-B67</f>
        <v>153</v>
      </c>
      <c r="E67" s="873">
        <f>IFERROR((D67/B67),0)</f>
        <v>3.7638376383763834E-2</v>
      </c>
      <c r="F67" s="874">
        <v>6381</v>
      </c>
      <c r="G67" s="875">
        <v>6481</v>
      </c>
      <c r="H67" s="876">
        <f>G67-F67</f>
        <v>100</v>
      </c>
      <c r="I67" s="877">
        <f>IFERROR((H67/F67),0)</f>
        <v>1.567152483936687E-2</v>
      </c>
      <c r="J67" s="870">
        <v>3806</v>
      </c>
      <c r="K67" s="870">
        <v>3847</v>
      </c>
      <c r="L67" s="878"/>
      <c r="M67" s="879"/>
      <c r="N67" s="880">
        <f t="shared" si="10"/>
        <v>14252</v>
      </c>
      <c r="O67" s="881">
        <f t="shared" si="10"/>
        <v>14546</v>
      </c>
      <c r="P67" s="882">
        <f>O67-N67</f>
        <v>294</v>
      </c>
      <c r="Q67" s="883">
        <f>IFERROR((P67/N67),0)</f>
        <v>2.0628683693516701E-2</v>
      </c>
    </row>
    <row r="68" spans="1:17" ht="21.6" thickTop="1" x14ac:dyDescent="0.4">
      <c r="A68" s="276"/>
      <c r="B68" s="846"/>
      <c r="C68" s="700"/>
      <c r="D68" s="276"/>
      <c r="E68" s="276"/>
      <c r="F68" s="846"/>
      <c r="G68" s="700"/>
      <c r="H68" s="276"/>
      <c r="I68" s="276"/>
      <c r="J68" s="846"/>
      <c r="K68" s="700"/>
      <c r="L68" s="845"/>
      <c r="M68" s="700"/>
      <c r="N68" s="846"/>
      <c r="O68" s="845"/>
      <c r="P68" s="845"/>
      <c r="Q68" s="700"/>
    </row>
    <row r="69" spans="1:17" ht="21.6" thickBot="1" x14ac:dyDescent="0.45">
      <c r="A69" s="884" t="s">
        <v>261</v>
      </c>
      <c r="B69" s="885">
        <v>31.75</v>
      </c>
      <c r="C69" s="886">
        <v>84.59838786154576</v>
      </c>
      <c r="D69" s="887">
        <f>C69-B69</f>
        <v>52.84838786154576</v>
      </c>
      <c r="E69" s="888">
        <f>IFERROR((D69/B69),0)</f>
        <v>1.6645161531195516</v>
      </c>
      <c r="F69" s="885">
        <v>3.82</v>
      </c>
      <c r="G69" s="889">
        <v>4.1532749816253141</v>
      </c>
      <c r="H69" s="887">
        <f>G69-F69</f>
        <v>0.33327498162531421</v>
      </c>
      <c r="I69" s="888">
        <f>IFERROR((H69/F69),0)</f>
        <v>8.7244759587778595E-2</v>
      </c>
      <c r="J69" s="890">
        <v>90.747277982133483</v>
      </c>
      <c r="K69" s="890">
        <v>88.373134910319749</v>
      </c>
      <c r="L69" s="891"/>
      <c r="M69" s="892"/>
      <c r="N69" s="893">
        <f>AVERAGE(B69,F69,J69)</f>
        <v>42.105759327377825</v>
      </c>
      <c r="O69" s="894">
        <f>AVERAGE(C69,G69,K69)</f>
        <v>59.041599251163611</v>
      </c>
      <c r="P69" s="895">
        <f>O69-N69</f>
        <v>16.935839923785785</v>
      </c>
      <c r="Q69" s="896">
        <f t="shared" ref="Q69" si="11">IF(Q67&gt;0,Q58/Q67,"0")</f>
        <v>21.858171232990955</v>
      </c>
    </row>
    <row r="70" spans="1:17" ht="22.2" thickTop="1" thickBot="1" x14ac:dyDescent="0.45">
      <c r="A70" s="276"/>
      <c r="B70" s="846"/>
      <c r="C70" s="700"/>
      <c r="D70" s="276"/>
      <c r="E70" s="276"/>
      <c r="F70" s="846"/>
      <c r="G70" s="700"/>
      <c r="H70" s="276"/>
      <c r="I70" s="276"/>
      <c r="J70" s="846"/>
      <c r="K70" s="700"/>
      <c r="L70" s="845"/>
      <c r="M70" s="700"/>
      <c r="N70" s="846"/>
      <c r="O70" s="845"/>
      <c r="P70" s="845"/>
      <c r="Q70" s="700"/>
    </row>
    <row r="71" spans="1:17" ht="21.6" thickBot="1" x14ac:dyDescent="0.45">
      <c r="A71" s="897" t="s">
        <v>262</v>
      </c>
      <c r="B71" s="898">
        <v>16.579999999999998</v>
      </c>
      <c r="C71" s="899">
        <v>16.63</v>
      </c>
      <c r="D71" s="900"/>
      <c r="E71" s="900"/>
      <c r="F71" s="898">
        <v>16.579999999999998</v>
      </c>
      <c r="G71" s="899">
        <v>16.63</v>
      </c>
      <c r="H71" s="900"/>
      <c r="I71" s="900"/>
      <c r="J71" s="898">
        <v>16.579999999999998</v>
      </c>
      <c r="K71" s="899">
        <v>16.63</v>
      </c>
      <c r="L71" s="900"/>
      <c r="M71" s="899"/>
      <c r="N71" s="898">
        <v>16.579999999999998</v>
      </c>
      <c r="O71" s="900">
        <v>16.63</v>
      </c>
      <c r="P71" s="900"/>
      <c r="Q71" s="899"/>
    </row>
    <row r="72" spans="1:17" ht="21.6" thickBot="1" x14ac:dyDescent="0.45">
      <c r="A72" s="276"/>
      <c r="B72" s="846"/>
      <c r="C72" s="700"/>
      <c r="D72" s="276"/>
      <c r="E72" s="276"/>
      <c r="F72" s="846"/>
      <c r="G72" s="700"/>
      <c r="H72" s="276"/>
      <c r="I72" s="276"/>
      <c r="J72" s="846"/>
      <c r="K72" s="700"/>
      <c r="L72" s="845"/>
      <c r="M72" s="700"/>
      <c r="N72" s="846"/>
      <c r="O72" s="845"/>
      <c r="P72" s="845"/>
      <c r="Q72" s="700"/>
    </row>
    <row r="73" spans="1:17" ht="21.6" thickBot="1" x14ac:dyDescent="0.45">
      <c r="A73" s="901" t="s">
        <v>263</v>
      </c>
      <c r="B73" s="693"/>
      <c r="C73" s="902"/>
      <c r="D73" s="276"/>
      <c r="E73" s="276"/>
      <c r="F73" s="693"/>
      <c r="G73" s="902"/>
      <c r="H73" s="276"/>
      <c r="I73" s="276"/>
      <c r="J73" s="693"/>
      <c r="K73" s="902"/>
      <c r="L73" s="903"/>
      <c r="M73" s="902"/>
      <c r="N73" s="693"/>
      <c r="O73" s="903"/>
      <c r="P73" s="903"/>
      <c r="Q73" s="902"/>
    </row>
    <row r="74" spans="1:17" ht="21" x14ac:dyDescent="0.4">
      <c r="A74" s="276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</row>
    <row r="75" spans="1:17" s="906" customFormat="1" ht="20.399999999999999" x14ac:dyDescent="0.35">
      <c r="A75" s="904" t="s">
        <v>264</v>
      </c>
      <c r="B75" s="904"/>
      <c r="C75" s="905">
        <v>58607.839999999997</v>
      </c>
      <c r="D75" s="905"/>
      <c r="E75" s="905"/>
      <c r="F75" s="905"/>
      <c r="G75" s="905">
        <v>109975.09</v>
      </c>
      <c r="H75" s="905"/>
      <c r="I75" s="905"/>
      <c r="J75" s="905"/>
      <c r="K75" s="905">
        <v>60125.59</v>
      </c>
      <c r="L75" s="904"/>
      <c r="M75" s="904"/>
      <c r="N75" s="904"/>
      <c r="O75" s="904"/>
      <c r="P75" s="904"/>
      <c r="Q75" s="904"/>
    </row>
  </sheetData>
  <mergeCells count="8">
    <mergeCell ref="B5:E5"/>
    <mergeCell ref="F5:I5"/>
    <mergeCell ref="J5:M5"/>
    <mergeCell ref="N5:Q5"/>
    <mergeCell ref="D6:E6"/>
    <mergeCell ref="H6:I6"/>
    <mergeCell ref="L6:M6"/>
    <mergeCell ref="P6:Q6"/>
  </mergeCells>
  <printOptions headings="1" gridLines="1"/>
  <pageMargins left="0.25" right="0.25" top="0.75" bottom="0.75" header="0.3" footer="0.3"/>
  <pageSetup scale="41" orientation="portrait" r:id="rId1"/>
  <headerFooter>
    <oddFooter>&amp;L&amp;Z&amp;F&amp;C
&amp;P of &amp;N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Psych CNP Full Time Nurse</vt:lpstr>
      <vt:lpstr>Psychiatric</vt:lpstr>
      <vt:lpstr>CARE Model</vt:lpstr>
      <vt:lpstr>CARE Support</vt:lpstr>
      <vt:lpstr>Impact Model</vt:lpstr>
      <vt:lpstr>IMPACTSupport</vt:lpstr>
      <vt:lpstr>R&amp;B Model</vt:lpstr>
      <vt:lpstr>R&amp;B - Low Intensity</vt:lpstr>
      <vt:lpstr>Room and Board Support</vt:lpstr>
      <vt:lpstr>CYF Individual Model</vt:lpstr>
      <vt:lpstr>CYF Individual Support</vt:lpstr>
      <vt:lpstr>CYF Group Model</vt:lpstr>
      <vt:lpstr>CYF Group</vt:lpstr>
      <vt:lpstr>'CARE Model'!Print_Area</vt:lpstr>
      <vt:lpstr>'CARE Support'!Print_Area</vt:lpstr>
      <vt:lpstr>'CYF Group'!Print_Area</vt:lpstr>
      <vt:lpstr>'CYF Group Model'!Print_Area</vt:lpstr>
      <vt:lpstr>'CYF Individual Model'!Print_Area</vt:lpstr>
      <vt:lpstr>'CYF Individual Support'!Print_Area</vt:lpstr>
      <vt:lpstr>'Impact Model'!Print_Area</vt:lpstr>
      <vt:lpstr>IMPACTSupport!Print_Area</vt:lpstr>
      <vt:lpstr>Psychiatric!Print_Area</vt:lpstr>
      <vt:lpstr>'R&amp;B - Low Intensity'!Print_Area</vt:lpstr>
      <vt:lpstr>'Room and Board Support'!Print_Area</vt:lpstr>
      <vt:lpstr>'CARE Support'!Print_Titles</vt:lpstr>
      <vt:lpstr>'CYF Group'!Print_Titles</vt:lpstr>
      <vt:lpstr>'CYF Individual Support'!Print_Titles</vt:lpstr>
      <vt:lpstr>IMPACTSupport!Print_Titles</vt:lpstr>
      <vt:lpstr>Psychiatric!Print_Titles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Steven</dc:creator>
  <cp:lastModifiedBy>Helmbrecht, Jes</cp:lastModifiedBy>
  <cp:lastPrinted>2019-12-06T14:46:58Z</cp:lastPrinted>
  <dcterms:created xsi:type="dcterms:W3CDTF">2019-12-06T14:23:26Z</dcterms:created>
  <dcterms:modified xsi:type="dcterms:W3CDTF">2022-10-18T20:46:48Z</dcterms:modified>
</cp:coreProperties>
</file>